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4.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5.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6.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書き出しの概要" sheetId="1" r:id="rId4"/>
    <sheet name="表紙" sheetId="2" r:id="rId5"/>
    <sheet name="現況シート" sheetId="3" r:id="rId6"/>
    <sheet name="将来予測シート①" sheetId="4" r:id="rId7"/>
    <sheet name="将来予測シート②" sheetId="5" r:id="rId8"/>
    <sheet name="地域特徴シート" sheetId="6" r:id="rId9"/>
    <sheet name="おわりに" sheetId="7" r:id="rId10"/>
    <sheet name="管理者入力シート" sheetId="8" r:id="rId11"/>
    <sheet name="管理者用人口入力シート" sheetId="9" r:id="rId12"/>
    <sheet name="管理者用グラフシート" sheetId="10" r:id="rId13"/>
    <sheet name="管理者用地域特徴シート" sheetId="11" r:id="rId14"/>
  </sheets>
</workbook>
</file>

<file path=xl/sharedStrings.xml><?xml version="1.0" encoding="utf-8"?>
<sst xmlns="http://schemas.openxmlformats.org/spreadsheetml/2006/main" uniqueCount="455">
  <si>
    <t>この書類はNumbersから書き出されました。各表は  Excelワークシート に変換されました。各Numbersシート上のその他すべてのオブジェクトはそれぞれ別個のワークシートに配置されました。Excelでは数式の計算結果が異なる可能性があるので注意してください。</t>
  </si>
  <si>
    <t>Numbersシート名</t>
  </si>
  <si>
    <t>Numbers表名</t>
  </si>
  <si>
    <t>Excelワークシート名</t>
  </si>
  <si>
    <t>表紙</t>
  </si>
  <si>
    <t>表1</t>
  </si>
  <si>
    <t>地域の未来を考えよう！</t>
  </si>
  <si>
    <t>ひなたまちづくり応援シート</t>
  </si>
  <si>
    <t>細田地区</t>
  </si>
  <si>
    <t>　このひなたまちづくり応援シートは、地域の課題や将来の姿を見える化することで、地域に住むみなさんが、今後どのような活動や助け合いが大切かを話し合うための資料です。
　お住まいの地域の10年後、20年後を思い描きながら、今、どんな強みや弱みを持っているのか、これからどんなことが問題になりそうか、それをどのように皆で支えあっていくかなど、議論しながらアイディアを出し合ってみましょう！</t>
  </si>
  <si>
    <t>【本応援シートを使った話し合いの進め方】</t>
  </si>
  <si>
    <t>①</t>
  </si>
  <si>
    <t>「現況シート」→「将来予測シート①」→「将来予測シート②」→</t>
  </si>
  <si>
    <t>「地域特徴シート」→「おわりに」の順番で、ご覧ください。</t>
  </si>
  <si>
    <t>②</t>
  </si>
  <si>
    <t>各シートには、グラフをみながら話し合いのきっかけとなる</t>
  </si>
  <si>
    <t>質問を用意しています。</t>
  </si>
  <si>
    <t>それらの質問を呼び水に、皆さんで意見を出し合ってみてください。</t>
  </si>
  <si>
    <t>③</t>
  </si>
  <si>
    <t>なお、各シートには感じたことなどを書き込んでいただける</t>
  </si>
  <si>
    <t>スペースも用意しています。</t>
  </si>
  <si>
    <t>発言をしづらい場合は、そちらにご意見を書いていただいても</t>
  </si>
  <si>
    <t>構いません。</t>
  </si>
  <si>
    <t>現況シート</t>
  </si>
  <si>
    <t>それでは、まず、</t>
  </si>
  <si>
    <t>の「今」を確認してみましょう。</t>
  </si>
  <si>
    <t>①総人口</t>
  </si>
  <si>
    <t>の総人口は、</t>
  </si>
  <si>
    <t>人です。</t>
  </si>
  <si>
    <t>と比べ</t>
  </si>
  <si>
    <t>人となっています。</t>
  </si>
  <si>
    <t>男性は、</t>
  </si>
  <si>
    <t>人、女性は、</t>
  </si>
  <si>
    <t>Ｑ．この10年で人口がこのように推移した理由は何だろう？</t>
  </si>
  <si>
    <t>②子どもの数</t>
  </si>
  <si>
    <t>小学生にあたる７～１２歳の人口は、</t>
  </si>
  <si>
    <t>中学生にあたる１３～１５歳の人口は、</t>
  </si>
  <si>
    <t>と比較すると、</t>
  </si>
  <si>
    <t>小学生は、</t>
  </si>
  <si>
    <t>人、</t>
  </si>
  <si>
    <t>中学生は、</t>
  </si>
  <si>
    <t>Ｑ．子どもの数がこのように推移したことで、地域にどんな変化が起きただろう？</t>
  </si>
  <si>
    <t>③高齢者の数</t>
  </si>
  <si>
    <t>６５歳以上は、</t>
  </si>
  <si>
    <t>人で総人口の</t>
  </si>
  <si>
    <t>です。</t>
  </si>
  <si>
    <t>７５歳以上は、</t>
  </si>
  <si>
    <t>６５歳以上の割合は、</t>
  </si>
  <si>
    <t>11ポイント上昇</t>
  </si>
  <si>
    <t>７５歳以上の割合は、</t>
  </si>
  <si>
    <t>6ポイント上昇</t>
  </si>
  <si>
    <t>Ｑ．高齢化率がこのように推移したことで、地域にどんな変化が起きただろう？</t>
  </si>
  <si>
    <t>④人口ピラミッド</t>
  </si>
  <si>
    <t>の人口ピラミッドは次のようになっています。</t>
  </si>
  <si>
    <t>と比較すると、20歳代は、</t>
  </si>
  <si>
    <t>30歳代は、</t>
  </si>
  <si>
    <t>人、40歳代は、</t>
  </si>
  <si>
    <t>50歳代は、</t>
  </si>
  <si>
    <t>将来予測シート①</t>
  </si>
  <si>
    <t>それでは、次に、これまでの傾向が続いた場合、</t>
  </si>
  <si>
    <t>の将来人口はどうなるのでしょうか？</t>
  </si>
  <si>
    <t>は、</t>
  </si>
  <si>
    <t>人と予想されます。</t>
  </si>
  <si>
    <t>よりも</t>
  </si>
  <si>
    <t>人となる見込みです。</t>
  </si>
  <si>
    <t>には、</t>
  </si>
  <si>
    <t>小学生にあたる7～12歳の人口は、</t>
  </si>
  <si>
    <t>中学生にあたる13～15歳の人口は、</t>
  </si>
  <si>
    <t>人と</t>
  </si>
  <si>
    <t>予想されます。</t>
  </si>
  <si>
    <r>
      <rPr>
        <sz val="16"/>
        <color indexed="16"/>
        <rFont val="HG丸ｺﾞｼｯｸM-PRO"/>
      </rPr>
      <t>年</t>
    </r>
    <r>
      <rPr>
        <sz val="16"/>
        <color indexed="8"/>
        <rFont val="HG丸ｺﾞｼｯｸM-PRO"/>
      </rPr>
      <t>　よりも</t>
    </r>
  </si>
  <si>
    <t>人</t>
  </si>
  <si>
    <t>となる見込みです。</t>
  </si>
  <si>
    <t>65歳以上は、</t>
  </si>
  <si>
    <t>、</t>
  </si>
  <si>
    <t>75歳以上は、</t>
  </si>
  <si>
    <t>と</t>
  </si>
  <si>
    <t>の人口ピラミッドは、次のようになります。</t>
  </si>
  <si>
    <t>人、　40歳代は、</t>
  </si>
  <si>
    <t>Ｑ．これまでの傾向が続いた場合、10年後、20年後に</t>
  </si>
  <si>
    <t>地域においてどのような問題が生じるだろうか？</t>
  </si>
  <si>
    <t>（例）</t>
  </si>
  <si>
    <t>地域で行なっている草刈やお祭り等のイベント、婦人会活動に</t>
  </si>
  <si>
    <t>参加する主な年齢層はどの程度になるだろうか？</t>
  </si>
  <si>
    <t>その規模で現在と同じように活動ができるだろうか？</t>
  </si>
  <si>
    <t>地域における消防団活動が継続できるだろうか？</t>
  </si>
  <si>
    <t>地域における伝統芸能は継承していけるだろうか？</t>
  </si>
  <si>
    <t>④</t>
  </si>
  <si>
    <t>車の運転できない高齢者がどの程度になるだろうか？</t>
  </si>
  <si>
    <t>このようなお年寄りの足の確保をどうすればよいだろうか？</t>
  </si>
  <si>
    <t>⑤</t>
  </si>
  <si>
    <t>このような人口規模で、地域内の商店やガソリンスタンド、</t>
  </si>
  <si>
    <t>病院は継続していけるだろうか？</t>
  </si>
  <si>
    <t>将来予測シート②</t>
  </si>
  <si>
    <t>次に、移住者の受入を進めた場合に、</t>
  </si>
  <si>
    <t>の将来人口がどう変わるかを見てみましょう。</t>
  </si>
  <si>
    <t>移住者数の設定</t>
  </si>
  <si>
    <t>はじめに、どの程度の移住者を受入れるかを設定しましょう。</t>
  </si>
  <si>
    <t>【移住者数の入力方法】</t>
  </si>
  <si>
    <t>移住者数を、右の赤枠で囲まれた表内に入力します。</t>
  </si>
  <si>
    <t>例えば、５年間で</t>
  </si>
  <si>
    <t>・20代後半の夫婦2組（1組は4歳以下の男の子、もう1組は4歳以下の女の子がいる家族）</t>
  </si>
  <si>
    <t>・40代前半のシングルマザー（10～14歳の男の子1人と女の子1人がいる家族）</t>
  </si>
  <si>
    <t>を受入れる場合は、以下のように入力します。</t>
  </si>
  <si>
    <t>入力例</t>
  </si>
  <si>
    <t>皆さんで話し合って、移住者数を設定してみましょう！</t>
  </si>
  <si>
    <t>移住者数入力表</t>
  </si>
  <si>
    <t>男性</t>
  </si>
  <si>
    <t>女性</t>
  </si>
  <si>
    <t>0～4歳</t>
  </si>
  <si>
    <t>5～9歳</t>
  </si>
  <si>
    <t>10～14歳</t>
  </si>
  <si>
    <t>15～19歳</t>
  </si>
  <si>
    <t>20～24歳</t>
  </si>
  <si>
    <t>25～29歳</t>
  </si>
  <si>
    <t>30～34歳</t>
  </si>
  <si>
    <t>35～39歳</t>
  </si>
  <si>
    <t>40～44歳</t>
  </si>
  <si>
    <t>45～49歳</t>
  </si>
  <si>
    <t>50～54歳</t>
  </si>
  <si>
    <t>55～59歳</t>
  </si>
  <si>
    <t>60～64歳</t>
  </si>
  <si>
    <t>【参考】</t>
  </si>
  <si>
    <t>における人口規模を概ね維持する場合の受入数の試算</t>
  </si>
  <si>
    <t>※なお、</t>
  </si>
  <si>
    <t>における総人口規模および小中学生数を概ね維持しよう</t>
  </si>
  <si>
    <t>とした場合、５年間での移住受入数を試算すると以下のようになります。</t>
  </si>
  <si>
    <t>（20代後半～30代の年齢層の男女をそれぞれ同数ずつ受入れると仮定）</t>
  </si>
  <si>
    <t>総人口（人）</t>
  </si>
  <si>
    <t>上の赤枠の欄にこれらの数字を入力して確かめてみよう！</t>
  </si>
  <si>
    <t>これまでの傾向が続く場合に比べ、</t>
  </si>
  <si>
    <t>では、</t>
  </si>
  <si>
    <t>人の増加、</t>
  </si>
  <si>
    <t>人の増加が見込まれます。</t>
  </si>
  <si>
    <t>人が見込まれます。</t>
  </si>
  <si>
    <t>2ポイント低下</t>
  </si>
  <si>
    <t>ほぼ横ばい</t>
  </si>
  <si>
    <t>また</t>
  </si>
  <si>
    <t>の男女計での人口ピラミッドについて、</t>
  </si>
  <si>
    <t>これまでの傾向が続いた場合と移住受入を進めた場合を比較すると</t>
  </si>
  <si>
    <t>次のようになります。</t>
  </si>
  <si>
    <t>Ｑ．これまでの傾向が続いた場合に地域で起きると考えた問題は、</t>
  </si>
  <si>
    <t>移住者受入を進めることで、どの程度解消できるだろう？</t>
  </si>
  <si>
    <t>※将来予測シート①の最後で挙げた問題をもとに考えてみてください。</t>
  </si>
  <si>
    <t>Ｑ．移住者を受入れる上での課題は何だろうか？</t>
  </si>
  <si>
    <t>若い人が地域に入ってきやすくするには何が必要か？</t>
  </si>
  <si>
    <t>受入のために空き家は使えるか？</t>
  </si>
  <si>
    <t>地域の出身者に地元で暮らす良さを伝えられているか？</t>
  </si>
  <si>
    <t>地域特徴シート</t>
  </si>
  <si>
    <t>は県内の他の地域と比べて、</t>
  </si>
  <si>
    <t>どのような特徴があるのでしょうか？</t>
  </si>
  <si>
    <t>①世帯構成</t>
  </si>
  <si>
    <t>における</t>
  </si>
  <si>
    <t>世帯内に65歳以上がいる世帯の割合は、</t>
  </si>
  <si>
    <t>で、</t>
  </si>
  <si>
    <t>日南市</t>
  </si>
  <si>
    <t>平均と比べて</t>
  </si>
  <si>
    <t>高く、</t>
  </si>
  <si>
    <t>県平均と比べて</t>
  </si>
  <si>
    <t>高くなっています。</t>
  </si>
  <si>
    <t>なお、全世帯数は、それぞれ、</t>
  </si>
  <si>
    <t>世帯、</t>
  </si>
  <si>
    <r>
      <rPr>
        <sz val="16"/>
        <color indexed="16"/>
        <rFont val="HG丸ｺﾞｼｯｸM-PRO"/>
      </rPr>
      <t>日南市</t>
    </r>
  </si>
  <si>
    <t>県全体</t>
  </si>
  <si>
    <t>世帯となっています。</t>
  </si>
  <si>
    <t>一方、65歳以上の一人暮らし世帯の割合は、</t>
  </si>
  <si>
    <t>②居住期間</t>
  </si>
  <si>
    <t>居住期間が10年未満の居住者の割合は、</t>
  </si>
  <si>
    <t>低く、</t>
  </si>
  <si>
    <t>低くなっています。</t>
  </si>
  <si>
    <t>の中で見ると、</t>
  </si>
  <si>
    <t>昔からの居住者の割合が高い地域です。</t>
  </si>
  <si>
    <t>一方、県の中で見ると、</t>
  </si>
  <si>
    <t>③転入者</t>
  </si>
  <si>
    <t>ここ５年間における転入者数は、</t>
  </si>
  <si>
    <t>県内他市町村からの転入者の割合が</t>
  </si>
  <si>
    <t>県外からの転入者の割合が</t>
  </si>
  <si>
    <t>転入者の性別構成は、</t>
  </si>
  <si>
    <t>　男性：女性＝</t>
  </si>
  <si>
    <t>:</t>
  </si>
  <si>
    <t>女性の転入者割合が低い地域です。</t>
  </si>
  <si>
    <t>Ｑ．転入者の男女構成割合の偏りが地域の活動などに</t>
  </si>
  <si>
    <t>与える影響はあるだろうか？</t>
  </si>
  <si>
    <t>④産業別就業者の割合</t>
  </si>
  <si>
    <t>産業別就業者の割合は、次のとおりです。</t>
  </si>
  <si>
    <t>Ｑ．この地域での雇用を生み出していく上で、どのような産業が</t>
  </si>
  <si>
    <t>期待できるだろう？（特に若い人の雇用を生み出す上で）</t>
  </si>
  <si>
    <t>⑤通勤通学先割合</t>
  </si>
  <si>
    <t>通勤先割合は、</t>
  </si>
  <si>
    <t>が</t>
  </si>
  <si>
    <t>内となっています。</t>
  </si>
  <si>
    <t>一方、15歳以上の通学先割合は、</t>
  </si>
  <si>
    <t>※15歳以上には中学３年生も含まれる。</t>
  </si>
  <si>
    <t>Ｑ．自市町村内における通勤通学が上記のような割合となっている</t>
  </si>
  <si>
    <t>ことが、地域内にある商店やスーパー、ガソリンスタンド等に</t>
  </si>
  <si>
    <t>何らかの影響を与えているだろうか？</t>
  </si>
  <si>
    <t>おわりに</t>
  </si>
  <si>
    <t>ここまでの議論をふりかえり、地域の維持・活性化にむけて、</t>
  </si>
  <si>
    <t>まず自分たちでできそうなこと（活動）は何かを出しあって</t>
  </si>
  <si>
    <t>みましょう。</t>
  </si>
  <si>
    <t>次に、その活動を行うために、行政にサポートして欲しいことは</t>
  </si>
  <si>
    <t>何かを出しあってみましょう。</t>
  </si>
  <si>
    <t>管理者入力シート</t>
  </si>
  <si>
    <t>項目</t>
  </si>
  <si>
    <t>設定値</t>
  </si>
  <si>
    <t>集計単位コード</t>
  </si>
  <si>
    <t>45204_5</t>
  </si>
  <si>
    <t>市町村名</t>
  </si>
  <si>
    <t>地区名</t>
  </si>
  <si>
    <t>現況年</t>
  </si>
  <si>
    <t>5年前</t>
  </si>
  <si>
    <t>10年前</t>
  </si>
  <si>
    <t>予測年1</t>
  </si>
  <si>
    <t>現況の5年後</t>
  </si>
  <si>
    <t>予測年2</t>
  </si>
  <si>
    <t>現況の10年後</t>
  </si>
  <si>
    <t>予測年3</t>
  </si>
  <si>
    <t>現況の15年後</t>
  </si>
  <si>
    <t>予測年4</t>
  </si>
  <si>
    <t>現況の20年後</t>
  </si>
  <si>
    <t>予測年5</t>
  </si>
  <si>
    <t>現況の25年後</t>
  </si>
  <si>
    <t>予測年6</t>
  </si>
  <si>
    <t>現況の30年後</t>
  </si>
  <si>
    <t>採用コーホート変化率</t>
  </si>
  <si>
    <t>1：直近5年平均、2：10年平均</t>
  </si>
  <si>
    <t>管理者用人口入力シート</t>
  </si>
  <si>
    <t>性年齢階層別人口</t>
  </si>
  <si>
    <t>65～69歳</t>
  </si>
  <si>
    <t>70～74歳</t>
  </si>
  <si>
    <t>75～79歳</t>
  </si>
  <si>
    <t>80～84歳</t>
  </si>
  <si>
    <t>85～89歳</t>
  </si>
  <si>
    <t>90～94歳</t>
  </si>
  <si>
    <t>95～99歳</t>
  </si>
  <si>
    <t>100歳以上</t>
  </si>
  <si>
    <t>合計</t>
  </si>
  <si>
    <t>小学生数</t>
  </si>
  <si>
    <t>中学生数</t>
  </si>
  <si>
    <t>65歳以上数</t>
  </si>
  <si>
    <t>75歳以上数</t>
  </si>
  <si>
    <t>65歳以上割合</t>
  </si>
  <si>
    <t>75歳以上割合</t>
  </si>
  <si>
    <t>20-39歳人口</t>
  </si>
  <si>
    <t>コーホート変化率</t>
  </si>
  <si>
    <t>用いる年次</t>
  </si>
  <si>
    <t>性別</t>
  </si>
  <si>
    <t>0～4歳→
5～9歳</t>
  </si>
  <si>
    <t>5～9歳→
10～14歳</t>
  </si>
  <si>
    <t>10～14歳→15～19歳</t>
  </si>
  <si>
    <t>15～19歳→20～24歳</t>
  </si>
  <si>
    <t>20～24歳→25～29歳</t>
  </si>
  <si>
    <t>25～29歳→30～34歳</t>
  </si>
  <si>
    <t>30～34歳→35～39歳</t>
  </si>
  <si>
    <t>35～39歳→40～44歳</t>
  </si>
  <si>
    <t>40～44歳→45～49歳</t>
  </si>
  <si>
    <t>45～49歳→50～54歳</t>
  </si>
  <si>
    <t>50～54歳→55～59歳</t>
  </si>
  <si>
    <t>55～59歳→60～64歳</t>
  </si>
  <si>
    <t>60～64歳→65～69歳</t>
  </si>
  <si>
    <t>65～69歳→70～74歳</t>
  </si>
  <si>
    <t>70～74歳→75～79歳</t>
  </si>
  <si>
    <t>75～79歳→80～84歳</t>
  </si>
  <si>
    <t>80～84歳→85～89歳</t>
  </si>
  <si>
    <t>85～89歳→90～94歳</t>
  </si>
  <si>
    <t>90～94歳→95～99歳</t>
  </si>
  <si>
    <t>95～99歳→100歳以上</t>
  </si>
  <si>
    <t>2020年と同程度の人口規模を保つとした場合の受入数（20代後半、30代の3年齢層で検討）</t>
  </si>
  <si>
    <t>データコード</t>
  </si>
  <si>
    <t>トレンド予測結果</t>
  </si>
  <si>
    <t>移住受入れ予測結果</t>
  </si>
  <si>
    <t>2005年_1</t>
  </si>
  <si>
    <t>直近5年</t>
  </si>
  <si>
    <t>2025年_1</t>
  </si>
  <si>
    <t>2005年_2</t>
  </si>
  <si>
    <t>2025年_2</t>
  </si>
  <si>
    <t>2005年_3</t>
  </si>
  <si>
    <t>前5年</t>
  </si>
  <si>
    <t>2025年_3</t>
  </si>
  <si>
    <t>2010年_1</t>
  </si>
  <si>
    <t>2030年_1</t>
  </si>
  <si>
    <t>ﾄﾚﾝﾄﾞ推計-現況</t>
  </si>
  <si>
    <t>2010年_2</t>
  </si>
  <si>
    <t>10年平均</t>
  </si>
  <si>
    <t>2030年_2</t>
  </si>
  <si>
    <t>2010年_3</t>
  </si>
  <si>
    <t>2030年_3</t>
  </si>
  <si>
    <t>2015年_1</t>
  </si>
  <si>
    <t>使用列番号</t>
  </si>
  <si>
    <t>2035年_1</t>
  </si>
  <si>
    <t>計</t>
  </si>
  <si>
    <t>2015年_2</t>
  </si>
  <si>
    <t>2035年_2</t>
  </si>
  <si>
    <t>5～15歳</t>
  </si>
  <si>
    <t>2015年_3</t>
  </si>
  <si>
    <t>2035年_3</t>
  </si>
  <si>
    <t>2020年_1</t>
  </si>
  <si>
    <t>2040年_1</t>
  </si>
  <si>
    <t>2020年_2</t>
  </si>
  <si>
    <t>婦人子ども比</t>
  </si>
  <si>
    <t>2040年_2</t>
  </si>
  <si>
    <t>2020年_3</t>
  </si>
  <si>
    <t>2040年_3</t>
  </si>
  <si>
    <t>2045年_1</t>
  </si>
  <si>
    <t>婦人子ども比計</t>
  </si>
  <si>
    <t>2045年_2</t>
  </si>
  <si>
    <t>女性数の逆算</t>
  </si>
  <si>
    <t>2045年_3</t>
  </si>
  <si>
    <t>1年齢1性別人数</t>
  </si>
  <si>
    <t>整数化処理</t>
  </si>
  <si>
    <t>2050年_1</t>
  </si>
  <si>
    <t>2050年_2</t>
  </si>
  <si>
    <t>2050年_3</t>
  </si>
  <si>
    <t>管理者用グラフシート</t>
  </si>
  <si>
    <t>現況シート用</t>
  </si>
  <si>
    <t>予測結果シート①用</t>
  </si>
  <si>
    <t>予測結果シート②用</t>
  </si>
  <si>
    <t>総人口グラフ作成設定</t>
  </si>
  <si>
    <t>これまでの傾向が続いた場合</t>
  </si>
  <si>
    <t>移住受入を進めた場合</t>
  </si>
  <si>
    <t>現況</t>
  </si>
  <si>
    <t>5年後</t>
  </si>
  <si>
    <t>子どもの数グラフ作成設定</t>
  </si>
  <si>
    <t>10年後</t>
  </si>
  <si>
    <t>小学生</t>
  </si>
  <si>
    <t>15年後</t>
  </si>
  <si>
    <t>20年後</t>
  </si>
  <si>
    <t>中学生</t>
  </si>
  <si>
    <t>高齢者の人数グラフ作成設定</t>
  </si>
  <si>
    <t>65歳以上</t>
  </si>
  <si>
    <t>75歳以上</t>
  </si>
  <si>
    <t>高齢者の割合グラフ作成設定</t>
  </si>
  <si>
    <t>人口ピラミッド作成設定</t>
  </si>
  <si>
    <t>使用列</t>
  </si>
  <si>
    <t>年齢</t>
  </si>
  <si>
    <t>25年後</t>
  </si>
  <si>
    <t>30年後</t>
  </si>
  <si>
    <t>男女計</t>
  </si>
  <si>
    <t>これまでの傾向が続いた場合（男女計）</t>
  </si>
  <si>
    <t>移住受入を進めた場合（男女計）</t>
  </si>
  <si>
    <t>管理者用地域特徴シート</t>
  </si>
  <si>
    <t>集計単位名</t>
  </si>
  <si>
    <t>世帯構成</t>
  </si>
  <si>
    <t>居住期間</t>
  </si>
  <si>
    <t>転入者数</t>
  </si>
  <si>
    <t>産業別就業者数</t>
  </si>
  <si>
    <t>通勤通学先</t>
  </si>
  <si>
    <t>全世帯数</t>
  </si>
  <si>
    <t>65歳以上がいる世帯数</t>
  </si>
  <si>
    <t>65歳以上夫婦のみ世帯数</t>
  </si>
  <si>
    <t>65歳以上一人暮らし世帯数</t>
  </si>
  <si>
    <t>65歳以上世帯率</t>
  </si>
  <si>
    <t>65歳以上夫婦のみ世帯率</t>
  </si>
  <si>
    <t>65歳以上一人暮らし世帯率</t>
  </si>
  <si>
    <t>常住者総数</t>
  </si>
  <si>
    <t>出生時から</t>
  </si>
  <si>
    <t>10年未満</t>
  </si>
  <si>
    <t>10年以上</t>
  </si>
  <si>
    <t>出生時から居住率</t>
  </si>
  <si>
    <t>10年未満居住率</t>
  </si>
  <si>
    <t>10年以上居住率</t>
  </si>
  <si>
    <t>自市町村内からの転入者数</t>
  </si>
  <si>
    <t>県内他市町村からの転入者数</t>
  </si>
  <si>
    <t>他県からの転入者数</t>
  </si>
  <si>
    <t>国外からの転入者数</t>
  </si>
  <si>
    <t>転入者数計</t>
  </si>
  <si>
    <t>常住者総数（男）</t>
  </si>
  <si>
    <t>自市町村内からの転入者数（男）</t>
  </si>
  <si>
    <t>県内他市町村からの転入者数（男）</t>
  </si>
  <si>
    <t>他県からの転入者数（男）</t>
  </si>
  <si>
    <t>国外からの転入者数（男）</t>
  </si>
  <si>
    <t>転入者数計（男）</t>
  </si>
  <si>
    <t>常住者総数（女）</t>
  </si>
  <si>
    <t>自市町村内からの転入者数（女）</t>
  </si>
  <si>
    <t>県内他市町村からの転入者数（女）</t>
  </si>
  <si>
    <t>他県からの転入者数（女）</t>
  </si>
  <si>
    <t>国外からの転入者数（女）</t>
  </si>
  <si>
    <t>転入者数計（女）</t>
  </si>
  <si>
    <t>常住者に占める転入者割合</t>
  </si>
  <si>
    <t>転入者のうち県内他市町村からの転入割合</t>
  </si>
  <si>
    <t>転入者のうち他県からの転入割合</t>
  </si>
  <si>
    <t>転入者のうち国外からの転入割合</t>
  </si>
  <si>
    <t>転入者のうち男性の割合</t>
  </si>
  <si>
    <t>転入者のうち女性の割合</t>
  </si>
  <si>
    <t>就業者数</t>
  </si>
  <si>
    <t>Ａ　農業，林業</t>
  </si>
  <si>
    <t>Ｂ　漁業</t>
  </si>
  <si>
    <t>Ｃ　鉱業，採石業，砂利採取業</t>
  </si>
  <si>
    <t>Ｄ　建設業</t>
  </si>
  <si>
    <t>Ｅ　製造業</t>
  </si>
  <si>
    <t>Ｆ　電気・ガス・熱供給・水道業</t>
  </si>
  <si>
    <t>Ｇ　情報通信業</t>
  </si>
  <si>
    <t>Ｈ　運輸業，郵便業</t>
  </si>
  <si>
    <t>Ｉ　卸売業，小売業</t>
  </si>
  <si>
    <t>Ｊ　金融業，保険業</t>
  </si>
  <si>
    <t>Ｋ　不動産業，物品賃貸業</t>
  </si>
  <si>
    <t>Ｌ　学術研究，専門・技術サービス業</t>
  </si>
  <si>
    <t>Ｍ　宿泊業，飲食サービス業</t>
  </si>
  <si>
    <t>Ｎ　生活関連サービス業，娯楽業</t>
  </si>
  <si>
    <t>Ｏ　教育，学習支援業</t>
  </si>
  <si>
    <t>Ｐ　医療，福祉</t>
  </si>
  <si>
    <t>Ｑ　複合サービス事業</t>
  </si>
  <si>
    <t>Ｒ　サービス業（他に分類されないもの）</t>
  </si>
  <si>
    <t>Ｓ　公務（他に分類されるものを除く）</t>
  </si>
  <si>
    <t>農・林業</t>
  </si>
  <si>
    <t>漁業</t>
  </si>
  <si>
    <t>鉱業・採石業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</si>
  <si>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</si>
  <si>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</si>
  <si>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</si>
  <si>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</si>
  <si>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</si>
  <si>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</si>
  <si>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</si>
  <si>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</si>
  <si>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</si>
  <si>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</si>
  <si>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</si>
  <si>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</si>
  <si>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</si>
  <si>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</si>
  <si>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その他サービス業</t>
  </si>
  <si>
    <t>公務</t>
  </si>
  <si>
    <t>15歳以上就業者数</t>
  </si>
  <si>
    <t>自市町村村内で就業</t>
  </si>
  <si>
    <t>県内他市町村で就業</t>
  </si>
  <si>
    <t>他県で就業</t>
  </si>
  <si>
    <t>15歳以上通学者数</t>
  </si>
  <si>
    <t>自市町村内へ通学</t>
  </si>
  <si>
    <t>県内他市町村へ通学</t>
  </si>
  <si>
    <t>県外へ通学</t>
  </si>
  <si>
    <t>自市町村内で就業割合</t>
  </si>
  <si>
    <t>県内他市町村で就業割合</t>
  </si>
  <si>
    <t>他県で就業割合</t>
  </si>
  <si>
    <t>自市町村内へ通学割合</t>
  </si>
  <si>
    <t>県内他市町村へ通学割合</t>
  </si>
  <si>
    <t>県外へ通学割合</t>
  </si>
  <si>
    <t>県平均</t>
  </si>
  <si>
    <r>
      <rPr>
        <sz val="11"/>
        <color indexed="8"/>
        <rFont val="ＭＳ Ｐゴシック"/>
      </rPr>
      <t>日南市平均</t>
    </r>
  </si>
  <si>
    <t>45204_1</t>
  </si>
  <si>
    <t>飫肥地区</t>
  </si>
  <si>
    <t>45204_2</t>
  </si>
  <si>
    <t>吾田地区</t>
  </si>
  <si>
    <t>45204_3</t>
  </si>
  <si>
    <t>油津地区</t>
  </si>
  <si>
    <t>45204_4</t>
  </si>
  <si>
    <t>東郷地区</t>
  </si>
  <si>
    <t>45204_6</t>
  </si>
  <si>
    <t>鵜戸地区</t>
  </si>
  <si>
    <t>45204_7</t>
  </si>
  <si>
    <t>酒谷地区</t>
  </si>
  <si>
    <t>45204_8</t>
  </si>
  <si>
    <t>北郷地区</t>
  </si>
  <si>
    <t>45204_9</t>
  </si>
  <si>
    <t>南郷地区</t>
  </si>
</sst>
</file>

<file path=xl/styles.xml><?xml version="1.0" encoding="utf-8"?>
<styleSheet xmlns="http://schemas.openxmlformats.org/spreadsheetml/2006/main">
  <numFmts count="17">
    <numFmt numFmtId="0" formatCode="General"/>
    <numFmt numFmtId="59" formatCode="#&quot;年&quot;"/>
    <numFmt numFmtId="60" formatCode="#,##0&quot; &quot;;(#,##0)"/>
    <numFmt numFmtId="61" formatCode="&quot;+&quot;#,###;&quot;-&quot;#,###;&quot;±&quot;0"/>
    <numFmt numFmtId="62" formatCode="#,##0.00&quot; &quot;;(#,##0.00)"/>
    <numFmt numFmtId="63" formatCode="#&quot;ポイント&quot;"/>
    <numFmt numFmtId="64" formatCode="#,##0;&quot; &quot;"/>
    <numFmt numFmtId="65" formatCode="0&quot;人&quot;"/>
    <numFmt numFmtId="66" formatCode="#&quot;組&quot;"/>
    <numFmt numFmtId="67" formatCode="#&quot;人&quot;"/>
    <numFmt numFmtId="68" formatCode="#&quot;人の増加&quot;"/>
    <numFmt numFmtId="69" formatCode="#,##0&quot; &quot;"/>
    <numFmt numFmtId="70" formatCode="&quot;+&quot;#,##0;&quot;-&quot;#,##0"/>
    <numFmt numFmtId="71" formatCode="0.0%"/>
    <numFmt numFmtId="72" formatCode="0.000"/>
    <numFmt numFmtId="73" formatCode="#,##0.000;&quot;-&quot;#,##0.000"/>
    <numFmt numFmtId="74" formatCode="#&quot;年値&quot;"/>
  </numFmts>
  <fonts count="52">
    <font>
      <sz val="11"/>
      <color indexed="8"/>
      <name val="ＭＳ Ｐゴシック"/>
    </font>
    <font>
      <sz val="12"/>
      <color indexed="8"/>
      <name val="ＭＳ Ｐゴシック"/>
    </font>
    <font>
      <sz val="14"/>
      <color indexed="8"/>
      <name val="ＭＳ Ｐゴシック"/>
    </font>
    <font>
      <sz val="16"/>
      <color indexed="8"/>
      <name val="HG丸ｺﾞｼｯｸM-PRO"/>
    </font>
    <font>
      <sz val="12"/>
      <color indexed="8"/>
      <name val="ヒラギノ角ゴ ProN W3"/>
    </font>
    <font>
      <u val="single"/>
      <sz val="12"/>
      <color indexed="11"/>
      <name val="ＭＳ Ｐゴシック"/>
    </font>
    <font>
      <sz val="14"/>
      <color indexed="8"/>
      <name val="ＭＳ Ｐゴシック"/>
    </font>
    <font>
      <sz val="16"/>
      <color indexed="14"/>
      <name val="HGS創英角ﾎﾟｯﾌﾟ体"/>
    </font>
    <font>
      <sz val="28"/>
      <color indexed="15"/>
      <name val="HGS創英角ﾎﾟｯﾌﾟ体"/>
    </font>
    <font>
      <sz val="20"/>
      <color indexed="16"/>
      <name val="HGS創英角ﾎﾟｯﾌﾟ体"/>
    </font>
    <font>
      <sz val="14"/>
      <color indexed="8"/>
      <name val="HG丸ｺﾞｼｯｸM-PRO"/>
    </font>
    <font>
      <b val="1"/>
      <sz val="20"/>
      <color indexed="16"/>
      <name val="HG丸ｺﾞｼｯｸM-PRO"/>
    </font>
    <font>
      <b val="1"/>
      <sz val="20"/>
      <color indexed="15"/>
      <name val="HG丸ｺﾞｼｯｸM-PRO"/>
    </font>
    <font>
      <b val="1"/>
      <sz val="20"/>
      <color indexed="17"/>
      <name val="HGS創英角ﾎﾟｯﾌﾟ体"/>
    </font>
    <font>
      <sz val="16"/>
      <color indexed="16"/>
      <name val="HG丸ｺﾞｼｯｸM-PRO"/>
    </font>
    <font>
      <sz val="13"/>
      <color indexed="8"/>
      <name val="HG丸ｺﾞｼｯｸM-PRO"/>
    </font>
    <font>
      <sz val="14"/>
      <color indexed="16"/>
      <name val="HG丸ｺﾞｼｯｸM-PRO"/>
    </font>
    <font>
      <sz val="16"/>
      <color indexed="18"/>
      <name val="HG丸ｺﾞｼｯｸM-PRO"/>
    </font>
    <font>
      <sz val="18"/>
      <color indexed="8"/>
      <name val="Calibri"/>
    </font>
    <font>
      <sz val="12"/>
      <color indexed="20"/>
      <name val="HG丸ｺﾞｼｯｸM-PRO"/>
    </font>
    <font>
      <sz val="18"/>
      <color indexed="20"/>
      <name val="HG丸ｺﾞｼｯｸM-PRO"/>
    </font>
    <font>
      <sz val="12"/>
      <color indexed="8"/>
      <name val="HG丸ｺﾞｼｯｸM-PRO"/>
    </font>
    <font>
      <sz val="10"/>
      <color indexed="18"/>
      <name val="HG丸ｺﾞｼｯｸM-PRO"/>
    </font>
    <font>
      <sz val="11"/>
      <color indexed="20"/>
      <name val="HG丸ｺﾞｼｯｸM-PRO"/>
    </font>
    <font>
      <sz val="16"/>
      <color indexed="20"/>
      <name val="HG丸ｺﾞｼｯｸM-PRO"/>
    </font>
    <font>
      <sz val="24"/>
      <color indexed="14"/>
      <name val="HG丸ｺﾞｼｯｸM-PRO"/>
    </font>
    <font>
      <sz val="24"/>
      <color indexed="16"/>
      <name val="HG丸ｺﾞｼｯｸM-PRO"/>
    </font>
    <font>
      <sz val="14"/>
      <color indexed="18"/>
      <name val="HG丸ｺﾞｼｯｸM-PRO"/>
    </font>
    <font>
      <sz val="14"/>
      <color indexed="20"/>
      <name val="HG丸ｺﾞｼｯｸM-PRO"/>
    </font>
    <font>
      <sz val="12"/>
      <color indexed="18"/>
      <name val="HG丸ｺﾞｼｯｸM-PRO"/>
    </font>
    <font>
      <sz val="16"/>
      <color indexed="17"/>
      <name val="HGS創英角ﾎﾟｯﾌﾟ体"/>
    </font>
    <font>
      <sz val="12"/>
      <color indexed="17"/>
      <name val="HG丸ｺﾞｼｯｸM-PRO"/>
    </font>
    <font>
      <sz val="11"/>
      <color indexed="8"/>
      <name val="HG丸ｺﾞｼｯｸM-PRO"/>
    </font>
    <font>
      <sz val="10"/>
      <color indexed="8"/>
      <name val="HG丸ｺﾞｼｯｸM-PRO"/>
    </font>
    <font>
      <sz val="12"/>
      <color indexed="8"/>
      <name val="HGS創英角ﾎﾟｯﾌﾟ体"/>
    </font>
    <font>
      <sz val="12"/>
      <color indexed="16"/>
      <name val="HG丸ｺﾞｼｯｸM-PRO"/>
    </font>
    <font>
      <b val="1"/>
      <sz val="12"/>
      <color indexed="17"/>
      <name val="HGS創英角ﾎﾟｯﾌﾟ体"/>
    </font>
    <font>
      <sz val="12"/>
      <color indexed="17"/>
      <name val="HGS創英角ﾎﾟｯﾌﾟ体"/>
    </font>
    <font>
      <sz val="9"/>
      <color indexed="16"/>
      <name val="HG丸ｺﾞｼｯｸM-PRO"/>
    </font>
    <font>
      <sz val="9"/>
      <color indexed="8"/>
      <name val="HG丸ｺﾞｼｯｸM-PRO"/>
    </font>
    <font>
      <b val="1"/>
      <sz val="12"/>
      <color indexed="28"/>
      <name val="HG丸ｺﾞｼｯｸM-PRO"/>
    </font>
    <font>
      <b val="1"/>
      <sz val="16"/>
      <color indexed="8"/>
      <name val="HG丸ｺﾞｼｯｸM-PRO"/>
    </font>
    <font>
      <sz val="16"/>
      <color indexed="17"/>
      <name val="HG丸ｺﾞｼｯｸM-PRO"/>
    </font>
    <font>
      <sz val="20"/>
      <color indexed="20"/>
      <name val="HG丸ｺﾞｼｯｸM-PRO"/>
    </font>
    <font>
      <sz val="24"/>
      <color indexed="29"/>
      <name val="HG丸ｺﾞｼｯｸM-PRO"/>
    </font>
    <font>
      <sz val="10"/>
      <color indexed="20"/>
      <name val="HG丸ｺﾞｼｯｸM-PRO"/>
    </font>
    <font>
      <sz val="10"/>
      <color indexed="8"/>
      <name val="ＭＳ Ｐゴシック"/>
    </font>
    <font>
      <sz val="9"/>
      <color indexed="8"/>
      <name val="ＭＳ Ｐゴシック"/>
    </font>
    <font>
      <sz val="8"/>
      <color indexed="8"/>
      <name val="ＭＳ Ｐゴシック"/>
    </font>
    <font>
      <sz val="11"/>
      <color indexed="16"/>
      <name val="ＭＳ Ｐゴシック"/>
    </font>
    <font>
      <sz val="11"/>
      <color indexed="17"/>
      <name val="ＭＳ Ｐゴシック"/>
    </font>
    <font>
      <sz val="6"/>
      <color indexed="8"/>
      <name val="ＭＳ Ｐゴシック"/>
    </font>
  </fonts>
  <fills count="14">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25"/>
        <bgColor auto="1"/>
      </patternFill>
    </fill>
    <fill>
      <patternFill patternType="solid">
        <fgColor indexed="26"/>
        <bgColor auto="1"/>
      </patternFill>
    </fill>
    <fill>
      <patternFill patternType="solid">
        <fgColor indexed="27"/>
        <bgColor auto="1"/>
      </patternFill>
    </fill>
    <fill>
      <patternFill patternType="solid">
        <fgColor indexed="31"/>
        <bgColor auto="1"/>
      </patternFill>
    </fill>
    <fill>
      <patternFill patternType="solid">
        <fgColor indexed="32"/>
        <bgColor auto="1"/>
      </patternFill>
    </fill>
    <fill>
      <patternFill patternType="solid">
        <fgColor indexed="22"/>
        <bgColor auto="1"/>
      </patternFill>
    </fill>
    <fill>
      <patternFill patternType="solid">
        <fgColor indexed="24"/>
        <bgColor auto="1"/>
      </patternFill>
    </fill>
    <fill>
      <patternFill patternType="solid">
        <fgColor indexed="33"/>
        <bgColor auto="1"/>
      </patternFill>
    </fill>
    <fill>
      <patternFill patternType="solid">
        <fgColor indexed="34"/>
        <bgColor auto="1"/>
      </patternFill>
    </fill>
  </fills>
  <borders count="93">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top/>
      <bottom/>
      <diagonal/>
    </border>
    <border>
      <left/>
      <right/>
      <top/>
      <bottom/>
      <diagonal/>
    </border>
    <border>
      <left/>
      <right style="thin">
        <color indexed="13"/>
      </right>
      <top/>
      <bottom/>
      <diagonal/>
    </border>
    <border>
      <left style="thin">
        <color indexed="13"/>
      </left>
      <right/>
      <top/>
      <bottom style="medium">
        <color indexed="8"/>
      </bottom>
      <diagonal/>
    </border>
    <border>
      <left/>
      <right/>
      <top/>
      <bottom style="medium">
        <color indexed="8"/>
      </bottom>
      <diagonal/>
    </border>
    <border>
      <left/>
      <right style="thin">
        <color indexed="13"/>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13"/>
      </left>
      <right/>
      <top style="medium">
        <color indexed="8"/>
      </top>
      <bottom/>
      <diagonal/>
    </border>
    <border>
      <left style="thin">
        <color indexed="13"/>
      </left>
      <right/>
      <top/>
      <bottom style="thin">
        <color indexed="13"/>
      </bottom>
      <diagonal/>
    </border>
    <border>
      <left/>
      <right/>
      <top/>
      <bottom style="thin">
        <color indexed="13"/>
      </bottom>
      <diagonal/>
    </border>
    <border>
      <left/>
      <right style="thin">
        <color indexed="13"/>
      </right>
      <top/>
      <bottom style="thin">
        <color indexed="13"/>
      </bottom>
      <diagonal/>
    </border>
    <border>
      <left style="thin">
        <color indexed="13"/>
      </left>
      <right/>
      <top/>
      <bottom style="thin">
        <color indexed="8"/>
      </bottom>
      <diagonal/>
    </border>
    <border>
      <left/>
      <right/>
      <top/>
      <bottom style="thin">
        <color indexed="8"/>
      </bottom>
      <diagonal/>
    </border>
    <border>
      <left/>
      <right/>
      <top/>
      <bottom style="thick">
        <color indexed="16"/>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ck">
        <color indexed="16"/>
      </right>
      <top/>
      <bottom/>
      <diagonal/>
    </border>
    <border>
      <left style="thick">
        <color indexed="16"/>
      </left>
      <right style="thin">
        <color indexed="8"/>
      </right>
      <top style="thick">
        <color indexed="16"/>
      </top>
      <bottom style="thin">
        <color indexed="8"/>
      </bottom>
      <diagonal/>
    </border>
    <border>
      <left style="thin">
        <color indexed="8"/>
      </left>
      <right style="thin">
        <color indexed="8"/>
      </right>
      <top style="thick">
        <color indexed="16"/>
      </top>
      <bottom style="thin">
        <color indexed="8"/>
      </bottom>
      <diagonal/>
    </border>
    <border>
      <left style="thin">
        <color indexed="8"/>
      </left>
      <right style="thick">
        <color indexed="16"/>
      </right>
      <top style="thick">
        <color indexed="16"/>
      </top>
      <bottom style="thin">
        <color indexed="8"/>
      </bottom>
      <diagonal/>
    </border>
    <border>
      <left style="thick">
        <color indexed="16"/>
      </left>
      <right/>
      <top/>
      <bottom/>
      <diagonal/>
    </border>
    <border>
      <left style="thick">
        <color indexed="16"/>
      </left>
      <right style="thin">
        <color indexed="8"/>
      </right>
      <top style="thin">
        <color indexed="8"/>
      </top>
      <bottom style="thin">
        <color indexed="8"/>
      </bottom>
      <diagonal/>
    </border>
    <border>
      <left style="thin">
        <color indexed="8"/>
      </left>
      <right style="thick">
        <color indexed="16"/>
      </right>
      <top style="thin">
        <color indexed="8"/>
      </top>
      <bottom style="thin">
        <color indexed="8"/>
      </bottom>
      <diagonal/>
    </border>
    <border>
      <left style="thick">
        <color indexed="16"/>
      </left>
      <right style="thin">
        <color indexed="8"/>
      </right>
      <top style="thin">
        <color indexed="8"/>
      </top>
      <bottom style="thick">
        <color indexed="16"/>
      </bottom>
      <diagonal/>
    </border>
    <border>
      <left style="thin">
        <color indexed="8"/>
      </left>
      <right style="thin">
        <color indexed="8"/>
      </right>
      <top style="thin">
        <color indexed="8"/>
      </top>
      <bottom style="thick">
        <color indexed="16"/>
      </bottom>
      <diagonal/>
    </border>
    <border>
      <left style="thin">
        <color indexed="8"/>
      </left>
      <right style="thick">
        <color indexed="16"/>
      </right>
      <top style="thin">
        <color indexed="8"/>
      </top>
      <bottom style="thick">
        <color indexed="16"/>
      </bottom>
      <diagonal/>
    </border>
    <border>
      <left style="thin">
        <color indexed="13"/>
      </left>
      <right/>
      <top style="thin">
        <color indexed="8"/>
      </top>
      <bottom/>
      <diagonal/>
    </border>
    <border>
      <left/>
      <right/>
      <top style="thin">
        <color indexed="8"/>
      </top>
      <bottom/>
      <diagonal/>
    </border>
    <border>
      <left/>
      <right/>
      <top style="thick">
        <color indexed="16"/>
      </top>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ck">
        <color indexed="8"/>
      </bottom>
      <diagonal/>
    </border>
    <border>
      <left/>
      <right style="thin">
        <color indexed="8"/>
      </right>
      <top/>
      <bottom style="medium">
        <color indexed="8"/>
      </bottom>
      <diagonal/>
    </border>
    <border>
      <left style="thin">
        <color indexed="8"/>
      </left>
      <right style="thick">
        <color indexed="8"/>
      </right>
      <top/>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ck">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style="thick">
        <color indexed="8"/>
      </top>
      <bottom/>
      <diagonal/>
    </border>
    <border>
      <left/>
      <right style="thin">
        <color indexed="8"/>
      </right>
      <top style="medium">
        <color indexed="8"/>
      </top>
      <bottom/>
      <diagonal/>
    </border>
    <border>
      <left style="thin">
        <color indexed="8"/>
      </left>
      <right/>
      <top/>
      <bottom style="thin">
        <color indexed="8"/>
      </bottom>
      <diagonal/>
    </border>
    <border>
      <left/>
      <right style="thin">
        <color indexed="8"/>
      </right>
      <top/>
      <bottom style="thin">
        <color indexed="8"/>
      </bottom>
      <diagonal/>
    </border>
    <border>
      <left style="medium">
        <color indexed="8"/>
      </left>
      <right/>
      <top/>
      <bottom style="thin">
        <color indexed="13"/>
      </bottom>
      <diagonal/>
    </border>
    <border>
      <left/>
      <right style="thin">
        <color indexed="13"/>
      </right>
      <top style="medium">
        <color indexed="8"/>
      </top>
      <bottom/>
      <diagonal/>
    </border>
    <border>
      <left style="thin">
        <color indexed="8"/>
      </left>
      <right/>
      <top style="thin">
        <color indexed="13"/>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13"/>
      </bottom>
      <diagonal/>
    </border>
    <border>
      <left style="thin">
        <color indexed="13"/>
      </left>
      <right style="thin">
        <color indexed="8"/>
      </right>
      <top style="thin">
        <color indexed="13"/>
      </top>
      <bottom/>
      <diagonal/>
    </border>
    <border>
      <left style="thin">
        <color indexed="8"/>
      </left>
      <right style="thin">
        <color indexed="8"/>
      </right>
      <top style="thin">
        <color indexed="8"/>
      </top>
      <bottom/>
      <diagonal/>
    </border>
    <border>
      <left/>
      <right style="thin">
        <color indexed="8"/>
      </right>
      <top style="thin">
        <color indexed="13"/>
      </top>
      <bottom/>
      <diagonal/>
    </border>
    <border>
      <left style="thin">
        <color indexed="13"/>
      </left>
      <right style="thin">
        <color indexed="8"/>
      </right>
      <top/>
      <bottom/>
      <diagonal/>
    </border>
    <border>
      <left style="thin">
        <color indexed="8"/>
      </left>
      <right style="thin">
        <color indexed="8"/>
      </right>
      <top/>
      <bottom style="thin">
        <color indexed="8"/>
      </bottom>
      <diagonal/>
    </border>
    <border>
      <left/>
      <right style="thin">
        <color indexed="13"/>
      </right>
      <top style="thin">
        <color indexed="8"/>
      </top>
      <bottom/>
      <diagonal/>
    </border>
    <border>
      <left/>
      <right style="thin">
        <color indexed="13"/>
      </right>
      <top/>
      <bottom style="thin">
        <color indexed="8"/>
      </bottom>
      <diagonal/>
    </border>
    <border>
      <left style="thin">
        <color indexed="8"/>
      </left>
      <right style="thin">
        <color indexed="8"/>
      </right>
      <top/>
      <bottom/>
      <diagonal/>
    </border>
    <border>
      <left style="thin">
        <color indexed="13"/>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13"/>
      </bottom>
      <diagonal/>
    </border>
    <border>
      <left style="thin">
        <color indexed="8"/>
      </left>
      <right style="thin">
        <color indexed="8"/>
      </right>
      <top style="thin">
        <color indexed="8"/>
      </top>
      <bottom style="thin">
        <color indexed="13"/>
      </bottom>
      <diagonal/>
    </border>
    <border>
      <left style="thin">
        <color indexed="8"/>
      </left>
      <right style="thin">
        <color indexed="8"/>
      </right>
      <top style="thin">
        <color indexed="13"/>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13"/>
      </left>
      <right style="thin">
        <color indexed="13"/>
      </right>
      <top/>
      <bottom style="thin">
        <color indexed="13"/>
      </bottom>
      <diagonal/>
    </border>
    <border>
      <left style="thin">
        <color indexed="13"/>
      </left>
      <right style="thin">
        <color indexed="13"/>
      </right>
      <top style="thin">
        <color indexed="13"/>
      </top>
      <bottom style="thin">
        <color indexed="13"/>
      </bottom>
      <diagonal/>
    </border>
  </borders>
  <cellStyleXfs count="1">
    <xf numFmtId="0" fontId="0" applyNumberFormat="0" applyFont="1" applyFill="0" applyBorder="0" applyAlignment="1" applyProtection="0">
      <alignment vertical="center"/>
    </xf>
  </cellStyleXfs>
  <cellXfs count="450">
    <xf numFmtId="0" fontId="0" applyNumberFormat="0" applyFont="1" applyFill="0" applyBorder="0" applyAlignment="1" applyProtection="0">
      <alignment vertical="center"/>
    </xf>
    <xf numFmtId="0" fontId="1" applyNumberFormat="0" applyFont="1" applyFill="0" applyBorder="0" applyAlignment="1" applyProtection="0">
      <alignment horizontal="left" vertical="center" wrapText="1"/>
    </xf>
    <xf numFmtId="0" fontId="2" applyNumberFormat="0" applyFont="1" applyFill="0" applyBorder="0" applyAlignment="1" applyProtection="0">
      <alignment horizontal="left" vertical="center"/>
    </xf>
    <xf numFmtId="0" fontId="1" fillId="2" applyNumberFormat="0" applyFont="1" applyFill="1" applyBorder="0" applyAlignment="1" applyProtection="0">
      <alignment horizontal="left" vertical="center"/>
    </xf>
    <xf numFmtId="0" fontId="1" fillId="3" applyNumberFormat="0" applyFont="1" applyFill="1" applyBorder="0" applyAlignment="1" applyProtection="0">
      <alignment horizontal="left" vertical="center"/>
    </xf>
    <xf numFmtId="0" fontId="5" fillId="3" applyNumberFormat="0" applyFont="1" applyFill="1" applyBorder="0" applyAlignment="1" applyProtection="0">
      <alignment horizontal="left" vertical="center"/>
    </xf>
    <xf numFmtId="0" fontId="0" applyNumberFormat="1" applyFont="1" applyFill="0" applyBorder="0" applyAlignment="1" applyProtection="0">
      <alignment vertical="center"/>
    </xf>
    <xf numFmtId="0" fontId="0" fillId="4" borderId="1" applyNumberFormat="0" applyFont="1" applyFill="1" applyBorder="1" applyAlignment="1" applyProtection="0">
      <alignment vertical="center"/>
    </xf>
    <xf numFmtId="0" fontId="0" fillId="4" borderId="2" applyNumberFormat="0" applyFont="1" applyFill="1" applyBorder="1" applyAlignment="1" applyProtection="0">
      <alignment vertical="center"/>
    </xf>
    <xf numFmtId="0" fontId="0" fillId="4" borderId="3" applyNumberFormat="0" applyFont="1" applyFill="1" applyBorder="1" applyAlignment="1" applyProtection="0">
      <alignment vertical="center"/>
    </xf>
    <xf numFmtId="0" fontId="0" fillId="4" borderId="4" applyNumberFormat="0" applyFont="1" applyFill="1" applyBorder="1" applyAlignment="1" applyProtection="0">
      <alignment vertical="center"/>
    </xf>
    <xf numFmtId="0" fontId="0" fillId="4" borderId="5" applyNumberFormat="0" applyFont="1" applyFill="1" applyBorder="1" applyAlignment="1" applyProtection="0">
      <alignment vertical="center"/>
    </xf>
    <xf numFmtId="0" fontId="0" fillId="4" borderId="6" applyNumberFormat="0" applyFont="1" applyFill="1" applyBorder="1" applyAlignment="1" applyProtection="0">
      <alignment vertical="center"/>
    </xf>
    <xf numFmtId="49" fontId="7" fillId="4" borderId="4" applyNumberFormat="1" applyFont="1" applyFill="1" applyBorder="1" applyAlignment="1" applyProtection="0">
      <alignment horizontal="center" vertical="center"/>
    </xf>
    <xf numFmtId="0" fontId="7" fillId="4" borderId="5" applyNumberFormat="0" applyFont="1" applyFill="1" applyBorder="1" applyAlignment="1" applyProtection="0">
      <alignment horizontal="center" vertical="center"/>
    </xf>
    <xf numFmtId="0" fontId="7" fillId="4" borderId="6" applyNumberFormat="0" applyFont="1" applyFill="1" applyBorder="1" applyAlignment="1" applyProtection="0">
      <alignment horizontal="center" vertical="center"/>
    </xf>
    <xf numFmtId="49" fontId="8" fillId="4" borderId="4" applyNumberFormat="1" applyFont="1" applyFill="1" applyBorder="1" applyAlignment="1" applyProtection="0">
      <alignment horizontal="justify" vertical="center"/>
    </xf>
    <xf numFmtId="0" fontId="8" fillId="4" borderId="5" applyNumberFormat="0" applyFont="1" applyFill="1" applyBorder="1" applyAlignment="1" applyProtection="0">
      <alignment horizontal="justify" vertical="center"/>
    </xf>
    <xf numFmtId="0" fontId="8" fillId="4" borderId="6" applyNumberFormat="0" applyFont="1" applyFill="1" applyBorder="1" applyAlignment="1" applyProtection="0">
      <alignment horizontal="justify" vertical="center"/>
    </xf>
    <xf numFmtId="0" fontId="8" fillId="4" borderId="4" applyNumberFormat="0" applyFont="1" applyFill="1" applyBorder="1" applyAlignment="1" applyProtection="0">
      <alignment horizontal="justify" vertical="center"/>
    </xf>
    <xf numFmtId="49" fontId="9" fillId="4" borderId="4" applyNumberFormat="1" applyFont="1" applyFill="1" applyBorder="1" applyAlignment="1" applyProtection="0">
      <alignment horizontal="center" vertical="center"/>
    </xf>
    <xf numFmtId="0" fontId="9" fillId="4" borderId="5" applyNumberFormat="0" applyFont="1" applyFill="1" applyBorder="1" applyAlignment="1" applyProtection="0">
      <alignment horizontal="center" vertical="center"/>
    </xf>
    <xf numFmtId="0" fontId="9" fillId="4" borderId="6" applyNumberFormat="0" applyFont="1" applyFill="1" applyBorder="1" applyAlignment="1" applyProtection="0">
      <alignment horizontal="center" vertical="center"/>
    </xf>
    <xf numFmtId="0" fontId="9" fillId="4" borderId="4" applyNumberFormat="0" applyFont="1" applyFill="1" applyBorder="1" applyAlignment="1" applyProtection="0">
      <alignment horizontal="center" vertical="center"/>
    </xf>
    <xf numFmtId="49" fontId="10" fillId="4" borderId="4" applyNumberFormat="1" applyFont="1" applyFill="1" applyBorder="1" applyAlignment="1" applyProtection="0">
      <alignment horizontal="left" vertical="center" wrapText="1"/>
    </xf>
    <xf numFmtId="0" fontId="10" fillId="4" borderId="5" applyNumberFormat="0" applyFont="1" applyFill="1" applyBorder="1" applyAlignment="1" applyProtection="0">
      <alignment horizontal="left" vertical="center" wrapText="1"/>
    </xf>
    <xf numFmtId="0" fontId="10" fillId="4" borderId="6" applyNumberFormat="0" applyFont="1" applyFill="1" applyBorder="1" applyAlignment="1" applyProtection="0">
      <alignment horizontal="left" vertical="center" wrapText="1"/>
    </xf>
    <xf numFmtId="0" fontId="10" fillId="4" borderId="4" applyNumberFormat="0" applyFont="1" applyFill="1" applyBorder="1" applyAlignment="1" applyProtection="0">
      <alignment horizontal="left" vertical="center" wrapText="1"/>
    </xf>
    <xf numFmtId="0" fontId="0" fillId="4" borderId="7" applyNumberFormat="0" applyFont="1" applyFill="1" applyBorder="1" applyAlignment="1" applyProtection="0">
      <alignment vertical="center"/>
    </xf>
    <xf numFmtId="0" fontId="0" fillId="4" borderId="8" applyNumberFormat="0" applyFont="1" applyFill="1" applyBorder="1" applyAlignment="1" applyProtection="0">
      <alignment vertical="center"/>
    </xf>
    <xf numFmtId="0" fontId="0" fillId="4" borderId="9" applyNumberFormat="0" applyFont="1" applyFill="1" applyBorder="1" applyAlignment="1" applyProtection="0">
      <alignment vertical="center"/>
    </xf>
    <xf numFmtId="49" fontId="10" fillId="4" borderId="10" applyNumberFormat="1" applyFont="1" applyFill="1" applyBorder="1" applyAlignment="1" applyProtection="0">
      <alignment vertical="center"/>
    </xf>
    <xf numFmtId="0" fontId="10" fillId="4" borderId="11" applyNumberFormat="0" applyFont="1" applyFill="1" applyBorder="1" applyAlignment="1" applyProtection="0">
      <alignment vertical="center"/>
    </xf>
    <xf numFmtId="0" fontId="10" fillId="4" borderId="12" applyNumberFormat="0" applyFont="1" applyFill="1" applyBorder="1" applyAlignment="1" applyProtection="0">
      <alignment vertical="center"/>
    </xf>
    <xf numFmtId="49" fontId="10" fillId="4" borderId="13" applyNumberFormat="1" applyFont="1" applyFill="1" applyBorder="1" applyAlignment="1" applyProtection="0">
      <alignment horizontal="right" vertical="center"/>
    </xf>
    <xf numFmtId="49" fontId="10" fillId="4" borderId="5" applyNumberFormat="1" applyFont="1" applyFill="1" applyBorder="1" applyAlignment="1" applyProtection="0">
      <alignment vertical="center"/>
    </xf>
    <xf numFmtId="0" fontId="10" fillId="4" borderId="5" applyNumberFormat="0" applyFont="1" applyFill="1" applyBorder="1" applyAlignment="1" applyProtection="0">
      <alignment vertical="center"/>
    </xf>
    <xf numFmtId="0" fontId="10" fillId="4" borderId="14" applyNumberFormat="0" applyFont="1" applyFill="1" applyBorder="1" applyAlignment="1" applyProtection="0">
      <alignment vertical="center"/>
    </xf>
    <xf numFmtId="0" fontId="10" fillId="4" borderId="13" applyNumberFormat="0" applyFont="1" applyFill="1" applyBorder="1" applyAlignment="1" applyProtection="0">
      <alignment vertical="center"/>
    </xf>
    <xf numFmtId="0" fontId="10" fillId="4" borderId="15" applyNumberFormat="0" applyFont="1" applyFill="1" applyBorder="1" applyAlignment="1" applyProtection="0">
      <alignment vertical="center"/>
    </xf>
    <xf numFmtId="0" fontId="10" fillId="4" borderId="8" applyNumberFormat="0" applyFont="1" applyFill="1" applyBorder="1" applyAlignment="1" applyProtection="0">
      <alignment vertical="center"/>
    </xf>
    <xf numFmtId="0" fontId="10" fillId="4" borderId="16" applyNumberFormat="0" applyFont="1" applyFill="1" applyBorder="1" applyAlignment="1" applyProtection="0">
      <alignment vertical="center"/>
    </xf>
    <xf numFmtId="0" fontId="0" applyNumberFormat="1" applyFont="1" applyFill="0" applyBorder="0" applyAlignment="1" applyProtection="0">
      <alignment vertical="center"/>
    </xf>
    <xf numFmtId="49" fontId="0" fillId="4" borderId="1" applyNumberFormat="1" applyFont="1" applyFill="1" applyBorder="1" applyAlignment="1" applyProtection="0">
      <alignment vertical="center"/>
    </xf>
    <xf numFmtId="49" fontId="11" fillId="4" borderId="5" applyNumberFormat="1" applyFont="1" applyFill="1" applyBorder="1" applyAlignment="1" applyProtection="0">
      <alignment horizontal="center" vertical="center"/>
    </xf>
    <xf numFmtId="0" fontId="11" fillId="4" borderId="5" applyNumberFormat="0" applyFont="1" applyFill="1" applyBorder="1" applyAlignment="1" applyProtection="0">
      <alignment horizontal="center" vertical="center"/>
    </xf>
    <xf numFmtId="49" fontId="3" fillId="4" borderId="5" applyNumberFormat="1" applyFont="1" applyFill="1" applyBorder="1" applyAlignment="1" applyProtection="0">
      <alignment horizontal="left" vertical="center"/>
    </xf>
    <xf numFmtId="0" fontId="3" fillId="4" borderId="5" applyNumberFormat="0" applyFont="1" applyFill="1" applyBorder="1" applyAlignment="1" applyProtection="0">
      <alignment horizontal="left" vertical="center"/>
    </xf>
    <xf numFmtId="0" fontId="12" fillId="4" borderId="5" applyNumberFormat="0" applyFont="1" applyFill="1" applyBorder="1" applyAlignment="1" applyProtection="0">
      <alignment horizontal="center" vertical="center"/>
    </xf>
    <xf numFmtId="49" fontId="13" fillId="4" borderId="4" applyNumberFormat="1" applyFont="1" applyFill="1" applyBorder="1" applyAlignment="1" applyProtection="0">
      <alignment vertical="center"/>
    </xf>
    <xf numFmtId="59" fontId="14" fillId="4" borderId="4" applyNumberFormat="1" applyFont="1" applyFill="1" applyBorder="1" applyAlignment="1" applyProtection="0">
      <alignment horizontal="center" vertical="center"/>
    </xf>
    <xf numFmtId="59" fontId="14" fillId="4" borderId="5" applyNumberFormat="1" applyFont="1" applyFill="1" applyBorder="1" applyAlignment="1" applyProtection="0">
      <alignment horizontal="center" vertical="center"/>
    </xf>
    <xf numFmtId="49" fontId="0" fillId="4" borderId="5" applyNumberFormat="1" applyFont="1" applyFill="1" applyBorder="1" applyAlignment="1" applyProtection="0">
      <alignment vertical="center"/>
    </xf>
    <xf numFmtId="60" fontId="14" fillId="4" borderId="5" applyNumberFormat="1" applyFont="1" applyFill="1" applyBorder="1" applyAlignment="1" applyProtection="0">
      <alignment horizontal="center" vertical="center"/>
    </xf>
    <xf numFmtId="61" fontId="14" fillId="4" borderId="5" applyNumberFormat="1" applyFont="1" applyFill="1" applyBorder="1" applyAlignment="1" applyProtection="0">
      <alignment horizontal="center" vertical="center"/>
    </xf>
    <xf numFmtId="49" fontId="3" fillId="4" borderId="4" applyNumberFormat="1" applyFont="1" applyFill="1" applyBorder="1" applyAlignment="1" applyProtection="0">
      <alignment horizontal="center" vertical="center"/>
    </xf>
    <xf numFmtId="0" fontId="3" fillId="4" borderId="5" applyNumberFormat="0" applyFont="1" applyFill="1" applyBorder="1" applyAlignment="1" applyProtection="0">
      <alignment horizontal="center" vertical="center"/>
    </xf>
    <xf numFmtId="0" fontId="0" fillId="4" borderId="5" applyNumberFormat="1" applyFont="1" applyFill="1" applyBorder="1" applyAlignment="1" applyProtection="0">
      <alignment vertical="center"/>
    </xf>
    <xf numFmtId="0" fontId="0" fillId="4" borderId="11" applyNumberFormat="0" applyFont="1" applyFill="1" applyBorder="1" applyAlignment="1" applyProtection="0">
      <alignment vertical="center"/>
    </xf>
    <xf numFmtId="0" fontId="0" fillId="4" borderId="12" applyNumberFormat="0" applyFont="1" applyFill="1" applyBorder="1" applyAlignment="1" applyProtection="0">
      <alignment vertical="center"/>
    </xf>
    <xf numFmtId="0" fontId="0" fillId="4" borderId="13" applyNumberFormat="0" applyFont="1" applyFill="1" applyBorder="1" applyAlignment="1" applyProtection="0">
      <alignment vertical="center"/>
    </xf>
    <xf numFmtId="0" fontId="0" fillId="4" borderId="14" applyNumberFormat="0" applyFont="1" applyFill="1" applyBorder="1" applyAlignment="1" applyProtection="0">
      <alignment vertical="center"/>
    </xf>
    <xf numFmtId="0" fontId="0" fillId="4" borderId="15" applyNumberFormat="0" applyFont="1" applyFill="1" applyBorder="1" applyAlignment="1" applyProtection="0">
      <alignment vertical="center"/>
    </xf>
    <xf numFmtId="0" fontId="0" fillId="4" borderId="16" applyNumberFormat="0" applyFont="1" applyFill="1" applyBorder="1" applyAlignment="1" applyProtection="0">
      <alignment vertical="center"/>
    </xf>
    <xf numFmtId="49" fontId="13" fillId="4" borderId="17" applyNumberFormat="1" applyFont="1" applyFill="1" applyBorder="1" applyAlignment="1" applyProtection="0">
      <alignment vertical="center"/>
    </xf>
    <xf numFmtId="49" fontId="0" fillId="4" borderId="4" applyNumberFormat="1" applyFont="1" applyFill="1" applyBorder="1" applyAlignment="1" applyProtection="0">
      <alignment vertical="center"/>
    </xf>
    <xf numFmtId="0" fontId="14" fillId="4" borderId="5" applyNumberFormat="0" applyFont="1" applyFill="1" applyBorder="1" applyAlignment="1" applyProtection="0">
      <alignment vertical="center"/>
    </xf>
    <xf numFmtId="0" fontId="14" fillId="4" borderId="5" applyNumberFormat="0" applyFont="1" applyFill="1" applyBorder="1" applyAlignment="1" applyProtection="0">
      <alignment horizontal="center" vertical="center"/>
    </xf>
    <xf numFmtId="62" fontId="0" fillId="4" borderId="6" applyNumberFormat="1" applyFont="1" applyFill="1" applyBorder="1" applyAlignment="1" applyProtection="0">
      <alignment vertical="center"/>
    </xf>
    <xf numFmtId="49" fontId="15" fillId="4" borderId="10" applyNumberFormat="1" applyFont="1" applyFill="1" applyBorder="1" applyAlignment="1" applyProtection="0">
      <alignment vertical="center"/>
    </xf>
    <xf numFmtId="60" fontId="0" fillId="4" borderId="5" applyNumberFormat="1" applyFont="1" applyFill="1" applyBorder="1" applyAlignment="1" applyProtection="0">
      <alignment vertical="center"/>
    </xf>
    <xf numFmtId="9" fontId="14" fillId="4" borderId="5" applyNumberFormat="1" applyFont="1" applyFill="1" applyBorder="1" applyAlignment="1" applyProtection="0">
      <alignment horizontal="center" vertical="center"/>
    </xf>
    <xf numFmtId="49" fontId="14" fillId="4" borderId="5" applyNumberFormat="1" applyFont="1" applyFill="1" applyBorder="1" applyAlignment="1" applyProtection="0">
      <alignment horizontal="center" vertical="center"/>
    </xf>
    <xf numFmtId="63" fontId="14" fillId="4" borderId="5" applyNumberFormat="1" applyFont="1" applyFill="1" applyBorder="1" applyAlignment="1" applyProtection="0">
      <alignment horizontal="center" vertical="center"/>
    </xf>
    <xf numFmtId="0" fontId="0" fillId="4" borderId="17" applyNumberFormat="0" applyFont="1" applyFill="1" applyBorder="1" applyAlignment="1" applyProtection="0">
      <alignment vertical="center"/>
    </xf>
    <xf numFmtId="60" fontId="14" fillId="4" borderId="5" applyNumberFormat="1" applyFont="1" applyFill="1" applyBorder="1" applyAlignment="1" applyProtection="0">
      <alignment vertical="center"/>
    </xf>
    <xf numFmtId="9" fontId="14" fillId="4" borderId="5" applyNumberFormat="1" applyFont="1" applyFill="1" applyBorder="1" applyAlignment="1" applyProtection="0">
      <alignment vertical="center"/>
    </xf>
    <xf numFmtId="63" fontId="14" fillId="4" borderId="5" applyNumberFormat="1" applyFont="1" applyFill="1" applyBorder="1" applyAlignment="1" applyProtection="0">
      <alignment vertical="center"/>
    </xf>
    <xf numFmtId="61" fontId="16" fillId="4" borderId="5" applyNumberFormat="1" applyFont="1" applyFill="1" applyBorder="1" applyAlignment="1" applyProtection="0">
      <alignment horizontal="center" vertical="center"/>
    </xf>
    <xf numFmtId="49" fontId="3" fillId="4" borderId="4" applyNumberFormat="1" applyFont="1" applyFill="1" applyBorder="1" applyAlignment="1" applyProtection="0">
      <alignment horizontal="left" vertical="center"/>
    </xf>
    <xf numFmtId="0" fontId="0" fillId="4" borderId="18" applyNumberFormat="0" applyFont="1" applyFill="1" applyBorder="1" applyAlignment="1" applyProtection="0">
      <alignment vertical="center"/>
    </xf>
    <xf numFmtId="0" fontId="0" fillId="4" borderId="19" applyNumberFormat="0" applyFont="1" applyFill="1" applyBorder="1" applyAlignment="1" applyProtection="0">
      <alignment vertical="center"/>
    </xf>
    <xf numFmtId="0" fontId="0" fillId="4" borderId="20" applyNumberFormat="0" applyFont="1" applyFill="1" applyBorder="1" applyAlignment="1" applyProtection="0">
      <alignment vertical="center"/>
    </xf>
    <xf numFmtId="0" fontId="0" applyNumberFormat="1" applyFont="1" applyFill="0" applyBorder="0" applyAlignment="1" applyProtection="0">
      <alignment vertical="center"/>
    </xf>
    <xf numFmtId="49" fontId="11" fillId="4" borderId="4" applyNumberFormat="1" applyFont="1" applyFill="1" applyBorder="1" applyAlignment="1" applyProtection="0">
      <alignment horizontal="center" vertical="center"/>
    </xf>
    <xf numFmtId="0" fontId="3" fillId="4" borderId="6" applyNumberFormat="0" applyFont="1" applyFill="1" applyBorder="1" applyAlignment="1" applyProtection="0">
      <alignment horizontal="left" vertical="center"/>
    </xf>
    <xf numFmtId="0" fontId="11" fillId="4" borderId="4" applyNumberFormat="0" applyFont="1" applyFill="1" applyBorder="1" applyAlignment="1" applyProtection="0">
      <alignment horizontal="center" vertical="center"/>
    </xf>
    <xf numFmtId="0" fontId="14" fillId="4" borderId="6" applyNumberFormat="0" applyFont="1" applyFill="1" applyBorder="1" applyAlignment="1" applyProtection="0">
      <alignment vertical="center"/>
    </xf>
    <xf numFmtId="59" fontId="0" fillId="4" borderId="5" applyNumberFormat="1" applyFont="1" applyFill="1" applyBorder="1" applyAlignment="1" applyProtection="0">
      <alignment vertical="center"/>
    </xf>
    <xf numFmtId="0" fontId="14" fillId="4" borderId="6" applyNumberFormat="0" applyFont="1" applyFill="1" applyBorder="1" applyAlignment="1" applyProtection="0">
      <alignment horizontal="center" vertical="center"/>
    </xf>
    <xf numFmtId="0" fontId="14" fillId="4" borderId="5" applyNumberFormat="1" applyFont="1" applyFill="1" applyBorder="1" applyAlignment="1" applyProtection="0">
      <alignment horizontal="right" vertical="center"/>
    </xf>
    <xf numFmtId="49" fontId="3" fillId="4" borderId="6" applyNumberFormat="1" applyFont="1" applyFill="1" applyBorder="1" applyAlignment="1" applyProtection="0">
      <alignment horizontal="right" vertical="center"/>
    </xf>
    <xf numFmtId="9" fontId="14" fillId="4" borderId="6" applyNumberFormat="1" applyFont="1" applyFill="1" applyBorder="1" applyAlignment="1" applyProtection="0">
      <alignment vertical="center"/>
    </xf>
    <xf numFmtId="49" fontId="0" fillId="4" borderId="6" applyNumberFormat="1" applyFont="1" applyFill="1" applyBorder="1" applyAlignment="1" applyProtection="0">
      <alignment vertical="center"/>
    </xf>
    <xf numFmtId="49" fontId="3" fillId="4" borderId="5" applyNumberFormat="1" applyFont="1" applyFill="1" applyBorder="1" applyAlignment="1" applyProtection="0">
      <alignment horizontal="right" vertical="center"/>
    </xf>
    <xf numFmtId="0" fontId="3" fillId="4" borderId="5" applyNumberFormat="0" applyFont="1" applyFill="1" applyBorder="1" applyAlignment="1" applyProtection="0">
      <alignment horizontal="right" vertical="center"/>
    </xf>
    <xf numFmtId="0" fontId="3" fillId="4" borderId="6" applyNumberFormat="0" applyFont="1" applyFill="1" applyBorder="1" applyAlignment="1" applyProtection="0">
      <alignment horizontal="right" vertical="center"/>
    </xf>
    <xf numFmtId="59" fontId="14" fillId="4" borderId="5" applyNumberFormat="1" applyFont="1" applyFill="1" applyBorder="1" applyAlignment="1" applyProtection="0">
      <alignment vertical="center"/>
    </xf>
    <xf numFmtId="49" fontId="0" fillId="4" borderId="10" applyNumberFormat="1" applyFont="1" applyFill="1" applyBorder="1" applyAlignment="1" applyProtection="0">
      <alignment vertical="center"/>
    </xf>
    <xf numFmtId="49" fontId="0" fillId="4" borderId="13" applyNumberFormat="1" applyFont="1" applyFill="1" applyBorder="1" applyAlignment="1" applyProtection="0">
      <alignment vertical="center"/>
    </xf>
    <xf numFmtId="49" fontId="10" fillId="4" borderId="13" applyNumberFormat="1" applyFont="1" applyFill="1" applyBorder="1" applyAlignment="1" applyProtection="0">
      <alignment vertical="center"/>
    </xf>
    <xf numFmtId="0" fontId="10" fillId="4" borderId="13" applyNumberFormat="0" applyFont="1" applyFill="1" applyBorder="1" applyAlignment="1" applyProtection="0">
      <alignment horizontal="right" vertical="center"/>
    </xf>
    <xf numFmtId="0" fontId="0" applyNumberFormat="1" applyFont="1" applyFill="0" applyBorder="0" applyAlignment="1" applyProtection="0">
      <alignment vertical="center"/>
    </xf>
    <xf numFmtId="49" fontId="11" fillId="4" borderId="4" applyNumberFormat="1" applyFont="1" applyFill="1" applyBorder="1" applyAlignment="1" applyProtection="0">
      <alignment horizontal="center" vertical="center" wrapText="1"/>
    </xf>
    <xf numFmtId="0" fontId="11" fillId="4" borderId="5" applyNumberFormat="0" applyFont="1" applyFill="1" applyBorder="1" applyAlignment="1" applyProtection="0">
      <alignment horizontal="center" vertical="center" wrapText="1"/>
    </xf>
    <xf numFmtId="0" fontId="11" fillId="4" borderId="4" applyNumberFormat="0" applyFont="1" applyFill="1" applyBorder="1" applyAlignment="1" applyProtection="0">
      <alignment horizontal="center" vertical="center" wrapText="1"/>
    </xf>
    <xf numFmtId="0" fontId="30" fillId="4" borderId="5" applyNumberFormat="0" applyFont="1" applyFill="1" applyBorder="1" applyAlignment="1" applyProtection="0">
      <alignment vertical="center"/>
    </xf>
    <xf numFmtId="49" fontId="21" fillId="4" borderId="4" applyNumberFormat="1" applyFont="1" applyFill="1" applyBorder="1" applyAlignment="1" applyProtection="0">
      <alignment horizontal="left" vertical="center"/>
    </xf>
    <xf numFmtId="0" fontId="0" fillId="4" borderId="21" applyNumberFormat="0" applyFont="1" applyFill="1" applyBorder="1" applyAlignment="1" applyProtection="0">
      <alignment vertical="center"/>
    </xf>
    <xf numFmtId="0" fontId="0" fillId="4" borderId="22" applyNumberFormat="0" applyFont="1" applyFill="1" applyBorder="1" applyAlignment="1" applyProtection="0">
      <alignment vertical="center"/>
    </xf>
    <xf numFmtId="0" fontId="0" fillId="4" borderId="23" applyNumberFormat="0" applyFont="1" applyFill="1" applyBorder="1" applyAlignment="1" applyProtection="0">
      <alignment vertical="center"/>
    </xf>
    <xf numFmtId="49" fontId="21" fillId="5" borderId="24" applyNumberFormat="1" applyFont="1" applyFill="1" applyBorder="1" applyAlignment="1" applyProtection="0">
      <alignment horizontal="center" vertical="center"/>
    </xf>
    <xf numFmtId="0" fontId="21" fillId="5" borderId="24" applyNumberFormat="0" applyFont="1" applyFill="1" applyBorder="1" applyAlignment="1" applyProtection="0">
      <alignment horizontal="center" vertical="center"/>
    </xf>
    <xf numFmtId="49" fontId="31" fillId="4" borderId="25" applyNumberFormat="1" applyFont="1" applyFill="1" applyBorder="1" applyAlignment="1" applyProtection="0">
      <alignment horizontal="left" vertical="center" wrapText="1"/>
    </xf>
    <xf numFmtId="0" fontId="31" fillId="4" borderId="26" applyNumberFormat="0" applyFont="1" applyFill="1" applyBorder="1" applyAlignment="1" applyProtection="0">
      <alignment horizontal="left" vertical="center" wrapText="1"/>
    </xf>
    <xf numFmtId="49" fontId="21" fillId="6" borderId="27" applyNumberFormat="1" applyFont="1" applyFill="1" applyBorder="1" applyAlignment="1" applyProtection="0">
      <alignment horizontal="center" vertical="center"/>
    </xf>
    <xf numFmtId="0" fontId="21" fillId="6" borderId="28" applyNumberFormat="0" applyFont="1" applyFill="1" applyBorder="1" applyAlignment="1" applyProtection="0">
      <alignment horizontal="center" vertical="center"/>
    </xf>
    <xf numFmtId="0" fontId="21" fillId="6" borderId="29" applyNumberFormat="0" applyFont="1" applyFill="1" applyBorder="1" applyAlignment="1" applyProtection="0">
      <alignment horizontal="center" vertical="center"/>
    </xf>
    <xf numFmtId="0" fontId="0" fillId="4" borderId="30" applyNumberFormat="0" applyFont="1" applyFill="1" applyBorder="1" applyAlignment="1" applyProtection="0">
      <alignment vertical="center"/>
    </xf>
    <xf numFmtId="49" fontId="32" fillId="5" borderId="24" applyNumberFormat="1" applyFont="1" applyFill="1" applyBorder="1" applyAlignment="1" applyProtection="0">
      <alignment horizontal="center" vertical="center"/>
    </xf>
    <xf numFmtId="0" fontId="31" fillId="4" borderId="25" applyNumberFormat="0" applyFont="1" applyFill="1" applyBorder="1" applyAlignment="1" applyProtection="0">
      <alignment horizontal="left" vertical="center" wrapText="1"/>
    </xf>
    <xf numFmtId="0" fontId="21" fillId="6" borderId="31" applyNumberFormat="0" applyFont="1" applyFill="1" applyBorder="1" applyAlignment="1" applyProtection="0">
      <alignment vertical="center"/>
    </xf>
    <xf numFmtId="49" fontId="21" fillId="6" borderId="24" applyNumberFormat="1" applyFont="1" applyFill="1" applyBorder="1" applyAlignment="1" applyProtection="0">
      <alignment horizontal="center" vertical="center"/>
    </xf>
    <xf numFmtId="49" fontId="21" fillId="6" borderId="32" applyNumberFormat="1" applyFont="1" applyFill="1" applyBorder="1" applyAlignment="1" applyProtection="0">
      <alignment horizontal="center" vertical="center"/>
    </xf>
    <xf numFmtId="49" fontId="33" fillId="5" borderId="24" applyNumberFormat="1" applyFont="1" applyFill="1" applyBorder="1" applyAlignment="1" applyProtection="0">
      <alignment vertical="center"/>
    </xf>
    <xf numFmtId="65" fontId="21" fillId="4" borderId="24" applyNumberFormat="1" applyFont="1" applyFill="1" applyBorder="1" applyAlignment="1" applyProtection="0">
      <alignment horizontal="center" vertical="center"/>
    </xf>
    <xf numFmtId="49" fontId="33" fillId="6" borderId="31" applyNumberFormat="1" applyFont="1" applyFill="1" applyBorder="1" applyAlignment="1" applyProtection="0">
      <alignment vertical="center"/>
    </xf>
    <xf numFmtId="65" fontId="21" fillId="4" borderId="32" applyNumberFormat="1" applyFont="1" applyFill="1" applyBorder="1" applyAlignment="1" applyProtection="0">
      <alignment horizontal="center" vertical="center"/>
    </xf>
    <xf numFmtId="65" fontId="32" fillId="4" borderId="24" applyNumberFormat="1" applyFont="1" applyFill="1" applyBorder="1" applyAlignment="1" applyProtection="0">
      <alignment horizontal="center" vertical="center"/>
    </xf>
    <xf numFmtId="65" fontId="32" fillId="4" borderId="32" applyNumberFormat="1" applyFont="1" applyFill="1" applyBorder="1" applyAlignment="1" applyProtection="0">
      <alignment horizontal="center" vertical="center"/>
    </xf>
    <xf numFmtId="0" fontId="0" fillId="4" borderId="25" applyNumberFormat="0" applyFont="1" applyFill="1" applyBorder="1" applyAlignment="1" applyProtection="0">
      <alignment vertical="center"/>
    </xf>
    <xf numFmtId="0" fontId="0" fillId="4" borderId="26" applyNumberFormat="0" applyFont="1" applyFill="1" applyBorder="1" applyAlignment="1" applyProtection="0">
      <alignment vertical="center"/>
    </xf>
    <xf numFmtId="0" fontId="30" fillId="4" borderId="30" applyNumberFormat="0" applyFont="1" applyFill="1" applyBorder="1" applyAlignment="1" applyProtection="0">
      <alignment vertical="center"/>
    </xf>
    <xf numFmtId="49" fontId="33" fillId="6" borderId="33" applyNumberFormat="1" applyFont="1" applyFill="1" applyBorder="1" applyAlignment="1" applyProtection="0">
      <alignment vertical="center"/>
    </xf>
    <xf numFmtId="65" fontId="32" fillId="4" borderId="34" applyNumberFormat="1" applyFont="1" applyFill="1" applyBorder="1" applyAlignment="1" applyProtection="0">
      <alignment horizontal="center" vertical="center"/>
    </xf>
    <xf numFmtId="65" fontId="32" fillId="4" borderId="35" applyNumberFormat="1" applyFont="1" applyFill="1" applyBorder="1" applyAlignment="1" applyProtection="0">
      <alignment horizontal="center" vertical="center"/>
    </xf>
    <xf numFmtId="0" fontId="33" fillId="4" borderId="36" applyNumberFormat="0" applyFont="1" applyFill="1" applyBorder="1" applyAlignment="1" applyProtection="0">
      <alignment vertical="center"/>
    </xf>
    <xf numFmtId="65" fontId="32" fillId="4" borderId="37" applyNumberFormat="1" applyFont="1" applyFill="1" applyBorder="1" applyAlignment="1" applyProtection="0">
      <alignment horizontal="center" vertical="center"/>
    </xf>
    <xf numFmtId="0" fontId="33" fillId="4" borderId="38" applyNumberFormat="0" applyFont="1" applyFill="1" applyBorder="1" applyAlignment="1" applyProtection="0">
      <alignment vertical="center"/>
    </xf>
    <xf numFmtId="65" fontId="32" fillId="4" borderId="38" applyNumberFormat="1" applyFont="1" applyFill="1" applyBorder="1" applyAlignment="1" applyProtection="0">
      <alignment horizontal="center" vertical="center"/>
    </xf>
    <xf numFmtId="49" fontId="34" fillId="4" borderId="21" applyNumberFormat="1" applyFont="1" applyFill="1" applyBorder="1" applyAlignment="1" applyProtection="0">
      <alignment vertical="center"/>
    </xf>
    <xf numFmtId="59" fontId="35" fillId="4" borderId="22" applyNumberFormat="1" applyFont="1" applyFill="1" applyBorder="1" applyAlignment="1" applyProtection="0">
      <alignment horizontal="center" vertical="center"/>
    </xf>
    <xf numFmtId="49" fontId="21" fillId="4" borderId="22" applyNumberFormat="1" applyFont="1" applyFill="1" applyBorder="1" applyAlignment="1" applyProtection="0">
      <alignment vertical="center"/>
    </xf>
    <xf numFmtId="0" fontId="36" fillId="4" borderId="22" applyNumberFormat="0" applyFont="1" applyFill="1" applyBorder="1" applyAlignment="1" applyProtection="0">
      <alignment vertical="center"/>
    </xf>
    <xf numFmtId="0" fontId="37" fillId="4" borderId="22" applyNumberFormat="0" applyFont="1" applyFill="1" applyBorder="1" applyAlignment="1" applyProtection="0">
      <alignment vertical="center"/>
    </xf>
    <xf numFmtId="49" fontId="21" fillId="4" borderId="39" applyNumberFormat="1" applyFont="1" applyFill="1" applyBorder="1" applyAlignment="1" applyProtection="0">
      <alignment vertical="center"/>
    </xf>
    <xf numFmtId="59" fontId="35" fillId="4" borderId="37" applyNumberFormat="1" applyFont="1" applyFill="1" applyBorder="1" applyAlignment="1" applyProtection="0">
      <alignment horizontal="center" vertical="center"/>
    </xf>
    <xf numFmtId="49" fontId="21" fillId="4" borderId="37" applyNumberFormat="1" applyFont="1" applyFill="1" applyBorder="1" applyAlignment="1" applyProtection="0">
      <alignment vertical="center"/>
    </xf>
    <xf numFmtId="0" fontId="21" fillId="4" borderId="37" applyNumberFormat="0" applyFont="1" applyFill="1" applyBorder="1" applyAlignment="1" applyProtection="0">
      <alignment vertical="center"/>
    </xf>
    <xf numFmtId="0" fontId="21" fillId="4" borderId="40" applyNumberFormat="0" applyFont="1" applyFill="1" applyBorder="1" applyAlignment="1" applyProtection="0">
      <alignment vertical="center"/>
    </xf>
    <xf numFmtId="49" fontId="21" fillId="4" borderId="25" applyNumberFormat="1" applyFont="1" applyFill="1" applyBorder="1" applyAlignment="1" applyProtection="0">
      <alignment vertical="center"/>
    </xf>
    <xf numFmtId="66" fontId="35" fillId="4" borderId="5" applyNumberFormat="1" applyFont="1" applyFill="1" applyBorder="1" applyAlignment="1" applyProtection="0">
      <alignment horizontal="center" vertical="center"/>
    </xf>
    <xf numFmtId="0" fontId="21" fillId="4" borderId="5" applyNumberFormat="0" applyFont="1" applyFill="1" applyBorder="1" applyAlignment="1" applyProtection="0">
      <alignment vertical="center"/>
    </xf>
    <xf numFmtId="67" fontId="35" fillId="4" borderId="5" applyNumberFormat="1" applyFont="1" applyFill="1" applyBorder="1" applyAlignment="1" applyProtection="0">
      <alignment horizontal="center" vertical="center"/>
    </xf>
    <xf numFmtId="9" fontId="35" fillId="4" borderId="5" applyNumberFormat="1" applyFont="1" applyFill="1" applyBorder="1" applyAlignment="1" applyProtection="0">
      <alignment horizontal="center" vertical="center"/>
    </xf>
    <xf numFmtId="0" fontId="21" fillId="4" borderId="41" applyNumberFormat="0" applyFont="1" applyFill="1" applyBorder="1" applyAlignment="1" applyProtection="0">
      <alignment vertical="center"/>
    </xf>
    <xf numFmtId="0" fontId="0" fillId="4" borderId="42" applyNumberFormat="0" applyFont="1" applyFill="1" applyBorder="1" applyAlignment="1" applyProtection="0">
      <alignment vertical="center"/>
    </xf>
    <xf numFmtId="68" fontId="35" fillId="4" borderId="8" applyNumberFormat="1" applyFont="1" applyFill="1" applyBorder="1" applyAlignment="1" applyProtection="0">
      <alignment vertical="center"/>
    </xf>
    <xf numFmtId="68" fontId="35" fillId="4" borderId="43" applyNumberFormat="1" applyFont="1" applyFill="1" applyBorder="1" applyAlignment="1" applyProtection="0">
      <alignment vertical="center"/>
    </xf>
    <xf numFmtId="0" fontId="0" fillId="4" borderId="44" applyNumberFormat="0" applyFont="1" applyFill="1" applyBorder="1" applyAlignment="1" applyProtection="0">
      <alignment vertical="center"/>
    </xf>
    <xf numFmtId="49" fontId="21" fillId="6" borderId="45" applyNumberFormat="1" applyFont="1" applyFill="1" applyBorder="1" applyAlignment="1" applyProtection="0">
      <alignment horizontal="center" vertical="center"/>
    </xf>
    <xf numFmtId="0" fontId="21" fillId="6" borderId="46" applyNumberFormat="0" applyFont="1" applyFill="1" applyBorder="1" applyAlignment="1" applyProtection="0">
      <alignment horizontal="center" vertical="center"/>
    </xf>
    <xf numFmtId="0" fontId="21" fillId="6" borderId="47" applyNumberFormat="0" applyFont="1" applyFill="1" applyBorder="1" applyAlignment="1" applyProtection="0">
      <alignment horizontal="center" vertical="center"/>
    </xf>
    <xf numFmtId="0" fontId="0" fillId="4" borderId="48" applyNumberFormat="0" applyFont="1" applyFill="1" applyBorder="1" applyAlignment="1" applyProtection="0">
      <alignment vertical="center"/>
    </xf>
    <xf numFmtId="67" fontId="35" fillId="4" borderId="14" applyNumberFormat="1" applyFont="1" applyFill="1" applyBorder="1" applyAlignment="1" applyProtection="0">
      <alignment horizontal="center" vertical="center"/>
    </xf>
    <xf numFmtId="0" fontId="21" fillId="7" borderId="49" applyNumberFormat="0" applyFont="1" applyFill="1" applyBorder="1" applyAlignment="1" applyProtection="0">
      <alignment vertical="center"/>
    </xf>
    <xf numFmtId="49" fontId="35" fillId="7" borderId="50" applyNumberFormat="1" applyFont="1" applyFill="1" applyBorder="1" applyAlignment="1" applyProtection="0">
      <alignment horizontal="center" vertical="center"/>
    </xf>
    <xf numFmtId="9" fontId="35" fillId="7" borderId="51" applyNumberFormat="1" applyFont="1" applyFill="1" applyBorder="1" applyAlignment="1" applyProtection="0">
      <alignment horizontal="center" vertical="center"/>
    </xf>
    <xf numFmtId="0" fontId="21" fillId="4" borderId="44" applyNumberFormat="0" applyFont="1" applyFill="1" applyBorder="1" applyAlignment="1" applyProtection="0">
      <alignment vertical="center"/>
    </xf>
    <xf numFmtId="0" fontId="21" fillId="6" borderId="52" applyNumberFormat="0" applyFont="1" applyFill="1" applyBorder="1" applyAlignment="1" applyProtection="0">
      <alignment vertical="center"/>
    </xf>
    <xf numFmtId="49" fontId="21" fillId="6" borderId="53" applyNumberFormat="1" applyFont="1" applyFill="1" applyBorder="1" applyAlignment="1" applyProtection="0">
      <alignment horizontal="center" vertical="center"/>
    </xf>
    <xf numFmtId="59" fontId="38" fillId="7" borderId="54" applyNumberFormat="1" applyFont="1" applyFill="1" applyBorder="1" applyAlignment="1" applyProtection="0">
      <alignment horizontal="center" vertical="center"/>
    </xf>
    <xf numFmtId="69" fontId="35" fillId="4" borderId="24" applyNumberFormat="1" applyFont="1" applyFill="1" applyBorder="1" applyAlignment="1" applyProtection="0">
      <alignment horizontal="center" vertical="center"/>
    </xf>
    <xf numFmtId="69" fontId="35" fillId="4" borderId="55" applyNumberFormat="1" applyFont="1" applyFill="1" applyBorder="1" applyAlignment="1" applyProtection="0">
      <alignment horizontal="center" vertical="center"/>
    </xf>
    <xf numFmtId="49" fontId="39" fillId="6" borderId="52" applyNumberFormat="1" applyFont="1" applyFill="1" applyBorder="1" applyAlignment="1" applyProtection="0">
      <alignment vertical="center"/>
    </xf>
    <xf numFmtId="65" fontId="39" fillId="4" borderId="24" applyNumberFormat="1" applyFont="1" applyFill="1" applyBorder="1" applyAlignment="1" applyProtection="0">
      <alignment horizontal="center" vertical="center"/>
    </xf>
    <xf numFmtId="65" fontId="39" fillId="4" borderId="53" applyNumberFormat="1" applyFont="1" applyFill="1" applyBorder="1" applyAlignment="1" applyProtection="0">
      <alignment horizontal="center" vertical="center"/>
    </xf>
    <xf numFmtId="0" fontId="33" fillId="4" borderId="44" applyNumberFormat="0" applyFont="1" applyFill="1" applyBorder="1" applyAlignment="1" applyProtection="0">
      <alignment vertical="center"/>
    </xf>
    <xf numFmtId="49" fontId="39" fillId="6" borderId="56" applyNumberFormat="1" applyFont="1" applyFill="1" applyBorder="1" applyAlignment="1" applyProtection="0">
      <alignment vertical="center"/>
    </xf>
    <xf numFmtId="65" fontId="39" fillId="4" borderId="57" applyNumberFormat="1" applyFont="1" applyFill="1" applyBorder="1" applyAlignment="1" applyProtection="0">
      <alignment horizontal="center" vertical="center"/>
    </xf>
    <xf numFmtId="65" fontId="39" fillId="4" borderId="58" applyNumberFormat="1" applyFont="1" applyFill="1" applyBorder="1" applyAlignment="1" applyProtection="0">
      <alignment horizontal="center" vertical="center"/>
    </xf>
    <xf numFmtId="59" fontId="38" fillId="7" borderId="59" applyNumberFormat="1" applyFont="1" applyFill="1" applyBorder="1" applyAlignment="1" applyProtection="0">
      <alignment horizontal="center" vertical="center"/>
    </xf>
    <xf numFmtId="69" fontId="35" fillId="4" borderId="60" applyNumberFormat="1" applyFont="1" applyFill="1" applyBorder="1" applyAlignment="1" applyProtection="0">
      <alignment horizontal="center" vertical="center"/>
    </xf>
    <xf numFmtId="69" fontId="35" fillId="4" borderId="61" applyNumberFormat="1" applyFont="1" applyFill="1" applyBorder="1" applyAlignment="1" applyProtection="0">
      <alignment horizontal="center" vertical="center"/>
    </xf>
    <xf numFmtId="0" fontId="21" fillId="4" borderId="25" applyNumberFormat="0" applyFont="1" applyFill="1" applyBorder="1" applyAlignment="1" applyProtection="0">
      <alignment vertical="center"/>
    </xf>
    <xf numFmtId="0" fontId="0" fillId="4" borderId="62" applyNumberFormat="0" applyFont="1" applyFill="1" applyBorder="1" applyAlignment="1" applyProtection="0">
      <alignment vertical="center"/>
    </xf>
    <xf numFmtId="59" fontId="38" fillId="4" borderId="11" applyNumberFormat="1" applyFont="1" applyFill="1" applyBorder="1" applyAlignment="1" applyProtection="0">
      <alignment horizontal="center" vertical="center"/>
    </xf>
    <xf numFmtId="68" fontId="21" fillId="4" borderId="11" applyNumberFormat="1" applyFont="1" applyFill="1" applyBorder="1" applyAlignment="1" applyProtection="0">
      <alignment vertical="center"/>
    </xf>
    <xf numFmtId="68" fontId="21" fillId="4" borderId="63" applyNumberFormat="1" applyFont="1" applyFill="1" applyBorder="1" applyAlignment="1" applyProtection="0">
      <alignment vertical="center"/>
    </xf>
    <xf numFmtId="0" fontId="33" fillId="4" borderId="64" applyNumberFormat="0" applyFont="1" applyFill="1" applyBorder="1" applyAlignment="1" applyProtection="0">
      <alignment vertical="center"/>
    </xf>
    <xf numFmtId="49" fontId="40" fillId="4" borderId="22" applyNumberFormat="1" applyFont="1" applyFill="1" applyBorder="1" applyAlignment="1" applyProtection="0">
      <alignment horizontal="left" vertical="center"/>
    </xf>
    <xf numFmtId="0" fontId="21" fillId="4" borderId="22" applyNumberFormat="0" applyFont="1" applyFill="1" applyBorder="1" applyAlignment="1" applyProtection="0">
      <alignment vertical="center"/>
    </xf>
    <xf numFmtId="0" fontId="41" fillId="4" borderId="22" applyNumberFormat="0" applyFont="1" applyFill="1" applyBorder="1" applyAlignment="1" applyProtection="0">
      <alignment vertical="center"/>
    </xf>
    <xf numFmtId="67" fontId="21" fillId="4" borderId="22" applyNumberFormat="1" applyFont="1" applyFill="1" applyBorder="1" applyAlignment="1" applyProtection="0">
      <alignment vertical="center"/>
    </xf>
    <xf numFmtId="67" fontId="21" fillId="4" borderId="65" applyNumberFormat="1" applyFont="1" applyFill="1" applyBorder="1" applyAlignment="1" applyProtection="0">
      <alignment vertical="center"/>
    </xf>
    <xf numFmtId="49" fontId="13" fillId="4" borderId="36" applyNumberFormat="1" applyFont="1" applyFill="1" applyBorder="1" applyAlignment="1" applyProtection="0">
      <alignment vertical="center"/>
    </xf>
    <xf numFmtId="0" fontId="0" fillId="4" borderId="37" applyNumberFormat="0" applyFont="1" applyFill="1" applyBorder="1" applyAlignment="1" applyProtection="0">
      <alignment vertical="center"/>
    </xf>
    <xf numFmtId="0" fontId="30" fillId="4" borderId="37" applyNumberFormat="0" applyFont="1" applyFill="1" applyBorder="1" applyAlignment="1" applyProtection="0">
      <alignment vertical="center"/>
    </xf>
    <xf numFmtId="0" fontId="42" fillId="4" borderId="5" applyNumberFormat="0" applyFont="1" applyFill="1" applyBorder="1" applyAlignment="1" applyProtection="0">
      <alignment vertical="center"/>
    </xf>
    <xf numFmtId="70" fontId="14" fillId="4" borderId="5" applyNumberFormat="1" applyFont="1" applyFill="1" applyBorder="1" applyAlignment="1" applyProtection="0">
      <alignment vertical="center"/>
    </xf>
    <xf numFmtId="70" fontId="14" fillId="4" borderId="6" applyNumberFormat="1" applyFont="1" applyFill="1" applyBorder="1" applyAlignment="1" applyProtection="0">
      <alignment vertical="center"/>
    </xf>
    <xf numFmtId="49" fontId="21" fillId="4" borderId="13" applyNumberFormat="1" applyFont="1" applyFill="1" applyBorder="1" applyAlignment="1" applyProtection="0">
      <alignment vertical="center"/>
    </xf>
    <xf numFmtId="0" fontId="0" fillId="4" borderId="66" applyNumberFormat="0" applyFont="1" applyFill="1" applyBorder="1" applyAlignment="1" applyProtection="0">
      <alignment vertical="center"/>
    </xf>
    <xf numFmtId="0" fontId="0" applyNumberFormat="1" applyFont="1" applyFill="0" applyBorder="0" applyAlignment="1" applyProtection="0">
      <alignment vertical="center"/>
    </xf>
    <xf numFmtId="49" fontId="11" fillId="4" borderId="1" applyNumberFormat="1" applyFont="1" applyFill="1" applyBorder="1" applyAlignment="1" applyProtection="0">
      <alignment horizontal="center" vertical="center"/>
    </xf>
    <xf numFmtId="0" fontId="11" fillId="4" borderId="2" applyNumberFormat="0" applyFont="1" applyFill="1" applyBorder="1" applyAlignment="1" applyProtection="0">
      <alignment horizontal="center" vertical="center"/>
    </xf>
    <xf numFmtId="49" fontId="3" fillId="4" borderId="2" applyNumberFormat="1" applyFont="1" applyFill="1" applyBorder="1" applyAlignment="1" applyProtection="0">
      <alignment horizontal="left" vertical="center"/>
    </xf>
    <xf numFmtId="0" fontId="3" fillId="4" borderId="2" applyNumberFormat="0" applyFont="1" applyFill="1" applyBorder="1" applyAlignment="1" applyProtection="0">
      <alignment horizontal="left" vertical="center"/>
    </xf>
    <xf numFmtId="0" fontId="3" fillId="4" borderId="3" applyNumberFormat="0" applyFont="1" applyFill="1" applyBorder="1" applyAlignment="1" applyProtection="0">
      <alignment horizontal="left" vertical="center"/>
    </xf>
    <xf numFmtId="71" fontId="14" fillId="4" borderId="5" applyNumberFormat="1" applyFont="1" applyFill="1" applyBorder="1" applyAlignment="1" applyProtection="0">
      <alignment horizontal="center" vertical="center"/>
    </xf>
    <xf numFmtId="49" fontId="14" fillId="4" borderId="4" applyNumberFormat="1" applyFont="1" applyFill="1" applyBorder="1" applyAlignment="1" applyProtection="0">
      <alignment vertical="center"/>
    </xf>
    <xf numFmtId="49" fontId="14" fillId="4" borderId="5" applyNumberFormat="1" applyFont="1" applyFill="1" applyBorder="1" applyAlignment="1" applyProtection="0">
      <alignment vertical="center"/>
    </xf>
    <xf numFmtId="49" fontId="14" fillId="4" borderId="4" applyNumberFormat="1" applyFont="1" applyFill="1" applyBorder="1" applyAlignment="1" applyProtection="0">
      <alignment horizontal="center" vertical="center"/>
    </xf>
    <xf numFmtId="71" fontId="14" fillId="4" borderId="5" applyNumberFormat="1" applyFont="1" applyFill="1" applyBorder="1" applyAlignment="1" applyProtection="0">
      <alignment horizontal="left" vertical="center"/>
    </xf>
    <xf numFmtId="49" fontId="3" fillId="4" borderId="6" applyNumberFormat="1" applyFont="1" applyFill="1" applyBorder="1" applyAlignment="1" applyProtection="0">
      <alignment horizontal="left" vertical="center"/>
    </xf>
    <xf numFmtId="49" fontId="14" fillId="4" borderId="5" applyNumberFormat="1" applyFont="1" applyFill="1" applyBorder="1" applyAlignment="1" applyProtection="0">
      <alignment horizontal="left" vertical="center"/>
    </xf>
    <xf numFmtId="2" fontId="14" fillId="4" borderId="5" applyNumberFormat="1" applyFont="1" applyFill="1" applyBorder="1" applyAlignment="1" applyProtection="0">
      <alignment vertical="center"/>
    </xf>
    <xf numFmtId="49" fontId="41" fillId="4" borderId="5" applyNumberFormat="1" applyFont="1" applyFill="1" applyBorder="1" applyAlignment="1" applyProtection="0">
      <alignment horizontal="center" vertical="center"/>
    </xf>
    <xf numFmtId="0" fontId="0" fillId="4" borderId="67" applyNumberFormat="0" applyFont="1" applyFill="1" applyBorder="1" applyAlignment="1" applyProtection="0">
      <alignment vertical="center"/>
    </xf>
    <xf numFmtId="71" fontId="14" fillId="4" borderId="5" applyNumberFormat="1" applyFont="1" applyFill="1" applyBorder="1" applyAlignment="1" applyProtection="0">
      <alignment vertical="center"/>
    </xf>
    <xf numFmtId="49" fontId="21" fillId="4" borderId="4" applyNumberFormat="1" applyFont="1" applyFill="1" applyBorder="1" applyAlignment="1" applyProtection="0">
      <alignment horizontal="right" vertical="center"/>
    </xf>
    <xf numFmtId="0" fontId="21" fillId="4" borderId="5" applyNumberFormat="0" applyFont="1" applyFill="1" applyBorder="1" applyAlignment="1" applyProtection="0">
      <alignment horizontal="right" vertical="center"/>
    </xf>
    <xf numFmtId="0" fontId="21" fillId="4" borderId="6" applyNumberFormat="0" applyFont="1" applyFill="1" applyBorder="1" applyAlignment="1" applyProtection="0">
      <alignment horizontal="right" vertical="center"/>
    </xf>
    <xf numFmtId="0" fontId="0" applyNumberFormat="1" applyFont="1" applyFill="0" applyBorder="0" applyAlignment="1" applyProtection="0">
      <alignment vertical="center"/>
    </xf>
    <xf numFmtId="49" fontId="13" fillId="4" borderId="1" applyNumberFormat="1" applyFont="1" applyFill="1" applyBorder="1" applyAlignment="1" applyProtection="0">
      <alignment vertical="center"/>
    </xf>
    <xf numFmtId="0" fontId="11" fillId="4" borderId="2" applyNumberFormat="0" applyFont="1" applyFill="1" applyBorder="1" applyAlignment="1" applyProtection="0">
      <alignment vertical="center"/>
    </xf>
    <xf numFmtId="0" fontId="11" fillId="4" borderId="4" applyNumberFormat="0" applyFont="1" applyFill="1" applyBorder="1" applyAlignment="1" applyProtection="0">
      <alignment vertical="center"/>
    </xf>
    <xf numFmtId="0" fontId="11" fillId="4" borderId="5" applyNumberFormat="0" applyFont="1" applyFill="1" applyBorder="1" applyAlignment="1" applyProtection="0">
      <alignment vertical="center"/>
    </xf>
    <xf numFmtId="49" fontId="3" fillId="4" borderId="7" applyNumberFormat="1" applyFont="1" applyFill="1" applyBorder="1" applyAlignment="1" applyProtection="0">
      <alignment vertical="center"/>
    </xf>
    <xf numFmtId="0" fontId="14" fillId="4" borderId="10" applyNumberFormat="0" applyFont="1" applyFill="1" applyBorder="1" applyAlignment="1" applyProtection="0">
      <alignment vertical="center"/>
    </xf>
    <xf numFmtId="0" fontId="14" fillId="4" borderId="11" applyNumberFormat="0" applyFont="1" applyFill="1" applyBorder="1" applyAlignment="1" applyProtection="0">
      <alignment vertical="center"/>
    </xf>
    <xf numFmtId="0" fontId="14" fillId="4" borderId="13" applyNumberFormat="0" applyFont="1" applyFill="1" applyBorder="1" applyAlignment="1" applyProtection="0">
      <alignment vertical="center"/>
    </xf>
    <xf numFmtId="49" fontId="0" fillId="4" borderId="7" applyNumberFormat="1" applyFont="1" applyFill="1" applyBorder="1" applyAlignment="1" applyProtection="0">
      <alignment vertical="center"/>
    </xf>
    <xf numFmtId="71" fontId="14" fillId="4" borderId="8" applyNumberFormat="1" applyFont="1" applyFill="1" applyBorder="1" applyAlignment="1" applyProtection="0">
      <alignment vertical="center"/>
    </xf>
    <xf numFmtId="0" fontId="3" fillId="4" borderId="9" applyNumberFormat="0" applyFont="1" applyFill="1" applyBorder="1" applyAlignment="1" applyProtection="0">
      <alignment horizontal="left" vertical="center"/>
    </xf>
    <xf numFmtId="0" fontId="14" fillId="4" borderId="11" applyNumberFormat="0" applyFont="1" applyFill="1" applyBorder="1" applyAlignment="1" applyProtection="0">
      <alignment horizontal="left" vertical="center"/>
    </xf>
    <xf numFmtId="0" fontId="0" applyNumberFormat="1" applyFont="1" applyFill="0" applyBorder="0" applyAlignment="1" applyProtection="0">
      <alignment vertical="center"/>
    </xf>
    <xf numFmtId="49" fontId="0" fillId="6" borderId="24" applyNumberFormat="1" applyFont="1" applyFill="1" applyBorder="1" applyAlignment="1" applyProtection="0">
      <alignment horizontal="center" vertical="center"/>
    </xf>
    <xf numFmtId="0" fontId="0" fillId="4" borderId="68" applyNumberFormat="0" applyFont="1" applyFill="1" applyBorder="1" applyAlignment="1" applyProtection="0">
      <alignment vertical="center"/>
    </xf>
    <xf numFmtId="49" fontId="0" fillId="6" borderId="69" applyNumberFormat="1" applyFont="1" applyFill="1" applyBorder="1" applyAlignment="1" applyProtection="0">
      <alignment horizontal="left" vertical="center"/>
    </xf>
    <xf numFmtId="49" fontId="0" fillId="4" borderId="69" applyNumberFormat="1" applyFont="1" applyFill="1" applyBorder="1" applyAlignment="1" applyProtection="0">
      <alignment horizontal="center" vertical="center"/>
    </xf>
    <xf numFmtId="49" fontId="0" fillId="6" borderId="70" applyNumberFormat="1" applyFont="1" applyFill="1" applyBorder="1" applyAlignment="1" applyProtection="0">
      <alignment horizontal="left" vertical="center"/>
    </xf>
    <xf numFmtId="49" fontId="0" fillId="4" borderId="70" applyNumberFormat="1" applyFont="1" applyFill="1" applyBorder="1" applyAlignment="1" applyProtection="0">
      <alignment horizontal="center" vertical="center"/>
    </xf>
    <xf numFmtId="49" fontId="0" fillId="6" borderId="70" applyNumberFormat="1" applyFont="1" applyFill="1" applyBorder="1" applyAlignment="1" applyProtection="0">
      <alignment vertical="center"/>
    </xf>
    <xf numFmtId="0" fontId="0" fillId="4" borderId="70" applyNumberFormat="1" applyFont="1" applyFill="1" applyBorder="1" applyAlignment="1" applyProtection="0">
      <alignment horizontal="center" vertical="center"/>
    </xf>
    <xf numFmtId="49" fontId="0" fillId="4" borderId="25" applyNumberFormat="1" applyFont="1" applyFill="1" applyBorder="1" applyAlignment="1" applyProtection="0">
      <alignment vertical="center"/>
    </xf>
    <xf numFmtId="0" fontId="0" fillId="6" borderId="70" applyNumberFormat="0" applyFont="1" applyFill="1" applyBorder="1" applyAlignment="1" applyProtection="0">
      <alignment vertical="center"/>
    </xf>
    <xf numFmtId="0" fontId="0" fillId="4" borderId="70" applyNumberFormat="0" applyFont="1" applyFill="1" applyBorder="1" applyAlignment="1" applyProtection="0">
      <alignment horizontal="center" vertical="center"/>
    </xf>
    <xf numFmtId="0" fontId="0" fillId="6" borderId="71" applyNumberFormat="0" applyFont="1" applyFill="1" applyBorder="1" applyAlignment="1" applyProtection="0">
      <alignment vertical="center"/>
    </xf>
    <xf numFmtId="0" fontId="0" fillId="4" borderId="71" applyNumberFormat="0" applyFont="1" applyFill="1" applyBorder="1" applyAlignment="1" applyProtection="0">
      <alignment horizontal="center" vertical="center"/>
    </xf>
    <xf numFmtId="0" fontId="0" fillId="4" borderId="72" applyNumberFormat="0" applyFont="1" applyFill="1" applyBorder="1" applyAlignment="1" applyProtection="0">
      <alignment vertical="center"/>
    </xf>
    <xf numFmtId="0" fontId="0" applyNumberFormat="1" applyFont="1" applyFill="0" applyBorder="0" applyAlignment="1" applyProtection="0">
      <alignment vertical="center"/>
    </xf>
    <xf numFmtId="49" fontId="0" fillId="8" borderId="73" applyNumberFormat="1" applyFont="1" applyFill="1" applyBorder="1" applyAlignment="1" applyProtection="0">
      <alignment vertical="center"/>
    </xf>
    <xf numFmtId="49" fontId="0" fillId="9" borderId="39" applyNumberFormat="1" applyFont="1" applyFill="1" applyBorder="1" applyAlignment="1" applyProtection="0">
      <alignment vertical="center"/>
    </xf>
    <xf numFmtId="0" fontId="0" fillId="9" borderId="40" applyNumberFormat="0" applyFont="1" applyFill="1" applyBorder="1" applyAlignment="1" applyProtection="0">
      <alignment vertical="center"/>
    </xf>
    <xf numFmtId="49" fontId="46" fillId="9" borderId="24" applyNumberFormat="1" applyFont="1" applyFill="1" applyBorder="1" applyAlignment="1" applyProtection="0">
      <alignment horizontal="center" vertical="center"/>
    </xf>
    <xf numFmtId="49" fontId="46" fillId="9" borderId="24" applyNumberFormat="1" applyFont="1" applyFill="1" applyBorder="1" applyAlignment="1" applyProtection="0">
      <alignment horizontal="center" vertical="center" wrapText="1"/>
    </xf>
    <xf numFmtId="49" fontId="46" fillId="9" borderId="74" applyNumberFormat="1" applyFont="1" applyFill="1" applyBorder="1" applyAlignment="1" applyProtection="0">
      <alignment horizontal="center" vertical="center" wrapText="1"/>
    </xf>
    <xf numFmtId="0" fontId="0" fillId="4" borderId="75" applyNumberFormat="0" applyFont="1" applyFill="1" applyBorder="1" applyAlignment="1" applyProtection="0">
      <alignment horizontal="center" vertical="center"/>
    </xf>
    <xf numFmtId="49" fontId="47" fillId="10" borderId="74" applyNumberFormat="1" applyFont="1" applyFill="1" applyBorder="1" applyAlignment="1" applyProtection="0">
      <alignment vertical="center" wrapText="1"/>
    </xf>
    <xf numFmtId="49" fontId="0" fillId="10" borderId="39" applyNumberFormat="1" applyFont="1" applyFill="1" applyBorder="1" applyAlignment="1" applyProtection="0">
      <alignment vertical="center"/>
    </xf>
    <xf numFmtId="0" fontId="0" fillId="10" borderId="40" applyNumberFormat="0" applyFont="1" applyFill="1" applyBorder="1" applyAlignment="1" applyProtection="0">
      <alignment vertical="center"/>
    </xf>
    <xf numFmtId="49" fontId="0" fillId="10" borderId="24" applyNumberFormat="1" applyFont="1" applyFill="1" applyBorder="1" applyAlignment="1" applyProtection="0">
      <alignment horizontal="center" vertical="center"/>
    </xf>
    <xf numFmtId="49" fontId="47" fillId="10" borderId="24" applyNumberFormat="1" applyFont="1" applyFill="1" applyBorder="1" applyAlignment="1" applyProtection="0">
      <alignment horizontal="center" vertical="center" wrapText="1"/>
    </xf>
    <xf numFmtId="0" fontId="0" fillId="4" borderId="75" applyNumberFormat="0" applyFont="1" applyFill="1" applyBorder="1" applyAlignment="1" applyProtection="0">
      <alignment vertical="center"/>
    </xf>
    <xf numFmtId="49" fontId="0" fillId="11" borderId="39" applyNumberFormat="1" applyFont="1" applyFill="1" applyBorder="1" applyAlignment="1" applyProtection="0">
      <alignment vertical="center"/>
    </xf>
    <xf numFmtId="0" fontId="0" fillId="11" borderId="40" applyNumberFormat="0" applyFont="1" applyFill="1" applyBorder="1" applyAlignment="1" applyProtection="0">
      <alignment vertical="center"/>
    </xf>
    <xf numFmtId="49" fontId="46" fillId="11" borderId="24" applyNumberFormat="1" applyFont="1" applyFill="1" applyBorder="1" applyAlignment="1" applyProtection="0">
      <alignment horizontal="center" vertical="center"/>
    </xf>
    <xf numFmtId="49" fontId="46" fillId="11" borderId="24" applyNumberFormat="1" applyFont="1" applyFill="1" applyBorder="1" applyAlignment="1" applyProtection="0">
      <alignment horizontal="center" vertical="center" wrapText="1"/>
    </xf>
    <xf numFmtId="49" fontId="46" fillId="11" borderId="74" applyNumberFormat="1" applyFont="1" applyFill="1" applyBorder="1" applyAlignment="1" applyProtection="0">
      <alignment horizontal="center" vertical="center" wrapText="1"/>
    </xf>
    <xf numFmtId="49" fontId="0" fillId="8" borderId="39" applyNumberFormat="1" applyFont="1" applyFill="1" applyBorder="1" applyAlignment="1" applyProtection="0">
      <alignment vertical="center"/>
    </xf>
    <xf numFmtId="0" fontId="0" fillId="8" borderId="40" applyNumberFormat="0" applyFont="1" applyFill="1" applyBorder="1" applyAlignment="1" applyProtection="0">
      <alignment vertical="center"/>
    </xf>
    <xf numFmtId="49" fontId="46" fillId="8" borderId="24" applyNumberFormat="1" applyFont="1" applyFill="1" applyBorder="1" applyAlignment="1" applyProtection="0">
      <alignment horizontal="center" vertical="center"/>
    </xf>
    <xf numFmtId="49" fontId="46" fillId="8" borderId="24" applyNumberFormat="1" applyFont="1" applyFill="1" applyBorder="1" applyAlignment="1" applyProtection="0">
      <alignment horizontal="center" vertical="center" wrapText="1"/>
    </xf>
    <xf numFmtId="49" fontId="46" fillId="8" borderId="74" applyNumberFormat="1" applyFont="1" applyFill="1" applyBorder="1" applyAlignment="1" applyProtection="0">
      <alignment horizontal="center" vertical="center" wrapText="1"/>
    </xf>
    <xf numFmtId="49" fontId="0" fillId="4" borderId="2" applyNumberFormat="1" applyFont="1" applyFill="1" applyBorder="1" applyAlignment="1" applyProtection="0">
      <alignment horizontal="left" vertical="center" wrapText="1"/>
    </xf>
    <xf numFmtId="0" fontId="0" fillId="4" borderId="75" applyNumberFormat="0" applyFont="1" applyFill="1" applyBorder="1" applyAlignment="1" applyProtection="0">
      <alignment horizontal="left" vertical="center" wrapText="1"/>
    </xf>
    <xf numFmtId="67" fontId="1" fillId="12" borderId="39" applyNumberFormat="1" applyFont="1" applyFill="1" applyBorder="1" applyAlignment="1" applyProtection="0">
      <alignment horizontal="center" vertical="center" wrapText="1"/>
    </xf>
    <xf numFmtId="67" fontId="1" fillId="12" borderId="40" applyNumberFormat="1" applyFont="1" applyFill="1" applyBorder="1" applyAlignment="1" applyProtection="0">
      <alignment horizontal="center" vertical="center" wrapText="1"/>
    </xf>
    <xf numFmtId="49" fontId="46" fillId="12" borderId="24" applyNumberFormat="1" applyFont="1" applyFill="1" applyBorder="1" applyAlignment="1" applyProtection="0">
      <alignment horizontal="center" vertical="center"/>
    </xf>
    <xf numFmtId="49" fontId="46" fillId="12" borderId="24" applyNumberFormat="1" applyFont="1" applyFill="1" applyBorder="1" applyAlignment="1" applyProtection="0">
      <alignment horizontal="center" vertical="center" wrapText="1"/>
    </xf>
    <xf numFmtId="49" fontId="46" fillId="12" borderId="74" applyNumberFormat="1" applyFont="1" applyFill="1" applyBorder="1" applyAlignment="1" applyProtection="0">
      <alignment horizontal="center" vertical="center" wrapText="1"/>
    </xf>
    <xf numFmtId="49" fontId="0" fillId="4" borderId="76" applyNumberFormat="1" applyFont="1" applyFill="1" applyBorder="1" applyAlignment="1" applyProtection="0">
      <alignment vertical="center"/>
    </xf>
    <xf numFmtId="0" fontId="0" fillId="9" borderId="64" applyNumberFormat="0" applyFont="1" applyFill="1" applyBorder="1" applyAlignment="1" applyProtection="0">
      <alignment vertical="center"/>
    </xf>
    <xf numFmtId="0" fontId="0" fillId="9" borderId="65" applyNumberFormat="0" applyFont="1" applyFill="1" applyBorder="1" applyAlignment="1" applyProtection="0">
      <alignment vertical="center"/>
    </xf>
    <xf numFmtId="0" fontId="46" fillId="9" borderId="24" applyNumberFormat="0" applyFont="1" applyFill="1" applyBorder="1" applyAlignment="1" applyProtection="0">
      <alignment horizontal="center" vertical="center"/>
    </xf>
    <xf numFmtId="0" fontId="46" fillId="9" borderId="24" applyNumberFormat="0" applyFont="1" applyFill="1" applyBorder="1" applyAlignment="1" applyProtection="0">
      <alignment horizontal="center" vertical="center" wrapText="1"/>
    </xf>
    <xf numFmtId="0" fontId="46" fillId="9" borderId="77" applyNumberFormat="0" applyFont="1" applyFill="1" applyBorder="1" applyAlignment="1" applyProtection="0">
      <alignment horizontal="center" vertical="center" wrapText="1"/>
    </xf>
    <xf numFmtId="0" fontId="0" fillId="4" borderId="41" applyNumberFormat="0" applyFont="1" applyFill="1" applyBorder="1" applyAlignment="1" applyProtection="0">
      <alignment vertical="center"/>
    </xf>
    <xf numFmtId="0" fontId="47" fillId="10" borderId="77" applyNumberFormat="0" applyFont="1" applyFill="1" applyBorder="1" applyAlignment="1" applyProtection="0">
      <alignment vertical="center" wrapText="1"/>
    </xf>
    <xf numFmtId="0" fontId="0" fillId="10" borderId="64" applyNumberFormat="0" applyFont="1" applyFill="1" applyBorder="1" applyAlignment="1" applyProtection="0">
      <alignment vertical="center"/>
    </xf>
    <xf numFmtId="0" fontId="0" fillId="10" borderId="65" applyNumberFormat="0" applyFont="1" applyFill="1" applyBorder="1" applyAlignment="1" applyProtection="0">
      <alignment vertical="center"/>
    </xf>
    <xf numFmtId="0" fontId="0" fillId="10" borderId="24" applyNumberFormat="0" applyFont="1" applyFill="1" applyBorder="1" applyAlignment="1" applyProtection="0">
      <alignment horizontal="center" vertical="center"/>
    </xf>
    <xf numFmtId="0" fontId="47" fillId="10" borderId="24" applyNumberFormat="0" applyFont="1" applyFill="1" applyBorder="1" applyAlignment="1" applyProtection="0">
      <alignment horizontal="center" vertical="center" wrapText="1"/>
    </xf>
    <xf numFmtId="49" fontId="0" fillId="4" borderId="41" applyNumberFormat="1" applyFont="1" applyFill="1" applyBorder="1" applyAlignment="1" applyProtection="0">
      <alignment vertical="center"/>
    </xf>
    <xf numFmtId="49" fontId="0" fillId="11" borderId="64" applyNumberFormat="1" applyFont="1" applyFill="1" applyBorder="1" applyAlignment="1" applyProtection="0">
      <alignment vertical="center"/>
    </xf>
    <xf numFmtId="0" fontId="0" fillId="11" borderId="65" applyNumberFormat="0" applyFont="1" applyFill="1" applyBorder="1" applyAlignment="1" applyProtection="0">
      <alignment vertical="center"/>
    </xf>
    <xf numFmtId="0" fontId="46" fillId="11" borderId="24" applyNumberFormat="0" applyFont="1" applyFill="1" applyBorder="1" applyAlignment="1" applyProtection="0">
      <alignment horizontal="center" vertical="center"/>
    </xf>
    <xf numFmtId="0" fontId="46" fillId="11" borderId="24" applyNumberFormat="0" applyFont="1" applyFill="1" applyBorder="1" applyAlignment="1" applyProtection="0">
      <alignment horizontal="center" vertical="center" wrapText="1"/>
    </xf>
    <xf numFmtId="0" fontId="46" fillId="11" borderId="77" applyNumberFormat="0" applyFont="1" applyFill="1" applyBorder="1" applyAlignment="1" applyProtection="0">
      <alignment horizontal="center" vertical="center" wrapText="1"/>
    </xf>
    <xf numFmtId="49" fontId="0" fillId="8" borderId="64" applyNumberFormat="1" applyFont="1" applyFill="1" applyBorder="1" applyAlignment="1" applyProtection="0">
      <alignment vertical="center"/>
    </xf>
    <xf numFmtId="0" fontId="0" fillId="8" borderId="65" applyNumberFormat="0" applyFont="1" applyFill="1" applyBorder="1" applyAlignment="1" applyProtection="0">
      <alignment vertical="center"/>
    </xf>
    <xf numFmtId="0" fontId="46" fillId="8" borderId="24" applyNumberFormat="0" applyFont="1" applyFill="1" applyBorder="1" applyAlignment="1" applyProtection="0">
      <alignment horizontal="center" vertical="center"/>
    </xf>
    <xf numFmtId="0" fontId="46" fillId="8" borderId="24" applyNumberFormat="0" applyFont="1" applyFill="1" applyBorder="1" applyAlignment="1" applyProtection="0">
      <alignment horizontal="center" vertical="center" wrapText="1"/>
    </xf>
    <xf numFmtId="0" fontId="46" fillId="8" borderId="77" applyNumberFormat="0" applyFont="1" applyFill="1" applyBorder="1" applyAlignment="1" applyProtection="0">
      <alignment horizontal="center" vertical="center" wrapText="1"/>
    </xf>
    <xf numFmtId="0" fontId="0" fillId="4" borderId="5" applyNumberFormat="0" applyFont="1" applyFill="1" applyBorder="1" applyAlignment="1" applyProtection="0">
      <alignment horizontal="left" vertical="center" wrapText="1"/>
    </xf>
    <xf numFmtId="0" fontId="0" fillId="4" borderId="41" applyNumberFormat="0" applyFont="1" applyFill="1" applyBorder="1" applyAlignment="1" applyProtection="0">
      <alignment horizontal="left" vertical="center" wrapText="1"/>
    </xf>
    <xf numFmtId="67" fontId="1" fillId="12" borderId="64" applyNumberFormat="1" applyFont="1" applyFill="1" applyBorder="1" applyAlignment="1" applyProtection="0">
      <alignment horizontal="center" vertical="center" wrapText="1"/>
    </xf>
    <xf numFmtId="67" fontId="1" fillId="12" borderId="65" applyNumberFormat="1" applyFont="1" applyFill="1" applyBorder="1" applyAlignment="1" applyProtection="0">
      <alignment horizontal="center" vertical="center" wrapText="1"/>
    </xf>
    <xf numFmtId="0" fontId="46" fillId="12" borderId="24" applyNumberFormat="0" applyFont="1" applyFill="1" applyBorder="1" applyAlignment="1" applyProtection="0">
      <alignment horizontal="center" vertical="center"/>
    </xf>
    <xf numFmtId="0" fontId="46" fillId="12" borderId="24" applyNumberFormat="0" applyFont="1" applyFill="1" applyBorder="1" applyAlignment="1" applyProtection="0">
      <alignment horizontal="center" vertical="center" wrapText="1"/>
    </xf>
    <xf numFmtId="0" fontId="46" fillId="12" borderId="77" applyNumberFormat="0" applyFont="1" applyFill="1" applyBorder="1" applyAlignment="1" applyProtection="0">
      <alignment horizontal="center" vertical="center" wrapText="1"/>
    </xf>
    <xf numFmtId="59" fontId="0" fillId="4" borderId="69" applyNumberFormat="1" applyFont="1" applyFill="1" applyBorder="1" applyAlignment="1" applyProtection="0">
      <alignment vertical="center"/>
    </xf>
    <xf numFmtId="49" fontId="0" fillId="4" borderId="69" applyNumberFormat="1" applyFont="1" applyFill="1" applyBorder="1" applyAlignment="1" applyProtection="0">
      <alignment vertical="center"/>
    </xf>
    <xf numFmtId="60" fontId="0" fillId="4" borderId="69" applyNumberFormat="1" applyFont="1" applyFill="1" applyBorder="1" applyAlignment="1" applyProtection="0">
      <alignment vertical="center"/>
    </xf>
    <xf numFmtId="71" fontId="0" fillId="4" borderId="69" applyNumberFormat="1" applyFont="1" applyFill="1" applyBorder="1" applyAlignment="1" applyProtection="0">
      <alignment vertical="center"/>
    </xf>
    <xf numFmtId="0" fontId="0" fillId="4" borderId="41" applyNumberFormat="0" applyFont="1" applyFill="1" applyBorder="1" applyAlignment="1" applyProtection="0">
      <alignment horizontal="center" vertical="center"/>
    </xf>
    <xf numFmtId="0" fontId="0" fillId="4" borderId="69" applyNumberFormat="1" applyFont="1" applyFill="1" applyBorder="1" applyAlignment="1" applyProtection="0">
      <alignment vertical="center"/>
    </xf>
    <xf numFmtId="72" fontId="0" fillId="4" borderId="69" applyNumberFormat="1" applyFont="1" applyFill="1" applyBorder="1" applyAlignment="1" applyProtection="0">
      <alignment vertical="center"/>
    </xf>
    <xf numFmtId="59" fontId="0" fillId="4" borderId="70" applyNumberFormat="1" applyFont="1" applyFill="1" applyBorder="1" applyAlignment="1" applyProtection="0">
      <alignment vertical="center"/>
    </xf>
    <xf numFmtId="49" fontId="0" fillId="4" borderId="70" applyNumberFormat="1" applyFont="1" applyFill="1" applyBorder="1" applyAlignment="1" applyProtection="0">
      <alignment vertical="center"/>
    </xf>
    <xf numFmtId="60" fontId="0" fillId="4" borderId="70" applyNumberFormat="1" applyFont="1" applyFill="1" applyBorder="1" applyAlignment="1" applyProtection="0">
      <alignment vertical="center"/>
    </xf>
    <xf numFmtId="71" fontId="0" fillId="4" borderId="70" applyNumberFormat="1" applyFont="1" applyFill="1" applyBorder="1" applyAlignment="1" applyProtection="0">
      <alignment vertical="center"/>
    </xf>
    <xf numFmtId="49" fontId="0" fillId="4" borderId="71" applyNumberFormat="1" applyFont="1" applyFill="1" applyBorder="1" applyAlignment="1" applyProtection="0">
      <alignment vertical="center"/>
    </xf>
    <xf numFmtId="0" fontId="0" fillId="4" borderId="71" applyNumberFormat="1" applyFont="1" applyFill="1" applyBorder="1" applyAlignment="1" applyProtection="0">
      <alignment vertical="center"/>
    </xf>
    <xf numFmtId="49" fontId="0" fillId="4" borderId="71" applyNumberFormat="1" applyFont="1" applyFill="1" applyBorder="1" applyAlignment="1" applyProtection="0">
      <alignment horizontal="center" vertical="center"/>
    </xf>
    <xf numFmtId="72" fontId="0" fillId="4" borderId="71" applyNumberFormat="1" applyFont="1" applyFill="1" applyBorder="1" applyAlignment="1" applyProtection="0">
      <alignment vertical="center"/>
    </xf>
    <xf numFmtId="59" fontId="0" fillId="4" borderId="71" applyNumberFormat="1" applyFont="1" applyFill="1" applyBorder="1" applyAlignment="1" applyProtection="0">
      <alignment vertical="center"/>
    </xf>
    <xf numFmtId="60" fontId="0" fillId="4" borderId="71" applyNumberFormat="1" applyFont="1" applyFill="1" applyBorder="1" applyAlignment="1" applyProtection="0">
      <alignment vertical="center"/>
    </xf>
    <xf numFmtId="71" fontId="0" fillId="4" borderId="71" applyNumberFormat="1" applyFont="1" applyFill="1" applyBorder="1" applyAlignment="1" applyProtection="0">
      <alignment vertical="center"/>
    </xf>
    <xf numFmtId="73" fontId="0" fillId="4" borderId="69" applyNumberFormat="1" applyFont="1" applyFill="1" applyBorder="1" applyAlignment="1" applyProtection="0">
      <alignment vertical="center"/>
    </xf>
    <xf numFmtId="60" fontId="0" fillId="4" borderId="41" applyNumberFormat="1" applyFont="1" applyFill="1" applyBorder="1" applyAlignment="1" applyProtection="0">
      <alignment vertical="center"/>
    </xf>
    <xf numFmtId="73" fontId="0" fillId="4" borderId="71" applyNumberFormat="1" applyFont="1" applyFill="1" applyBorder="1" applyAlignment="1" applyProtection="0">
      <alignment vertical="center"/>
    </xf>
    <xf numFmtId="49" fontId="47" fillId="4" borderId="37" applyNumberFormat="1" applyFont="1" applyFill="1" applyBorder="1" applyAlignment="1" applyProtection="0">
      <alignment horizontal="center" vertical="center"/>
    </xf>
    <xf numFmtId="0" fontId="0" fillId="4" borderId="37" applyNumberFormat="1" applyFont="1" applyFill="1" applyBorder="1" applyAlignment="1" applyProtection="0">
      <alignment vertical="center"/>
    </xf>
    <xf numFmtId="0" fontId="46" fillId="4" borderId="5" applyNumberFormat="0" applyFont="1" applyFill="1" applyBorder="1" applyAlignment="1" applyProtection="0">
      <alignment vertical="center"/>
    </xf>
    <xf numFmtId="49" fontId="47" fillId="4" borderId="5" applyNumberFormat="1" applyFont="1" applyFill="1" applyBorder="1" applyAlignment="1" applyProtection="0">
      <alignment horizontal="center" vertical="center"/>
    </xf>
    <xf numFmtId="73" fontId="0" fillId="4" borderId="41" applyNumberFormat="1" applyFont="1" applyFill="1" applyBorder="1" applyAlignment="1" applyProtection="0">
      <alignment vertical="center"/>
    </xf>
    <xf numFmtId="74" fontId="0" fillId="4" borderId="22" applyNumberFormat="1" applyFont="1" applyFill="1" applyBorder="1" applyAlignment="1" applyProtection="0">
      <alignment horizontal="center" vertical="center"/>
    </xf>
    <xf numFmtId="0" fontId="47" fillId="4" borderId="5" applyNumberFormat="0" applyFont="1" applyFill="1" applyBorder="1" applyAlignment="1" applyProtection="0">
      <alignment horizontal="center" vertical="center"/>
    </xf>
    <xf numFmtId="0" fontId="48" fillId="4" borderId="5" applyNumberFormat="0" applyFont="1" applyFill="1" applyBorder="1" applyAlignment="1" applyProtection="0">
      <alignment horizontal="center" vertical="center"/>
    </xf>
    <xf numFmtId="49" fontId="46" fillId="10" borderId="74" applyNumberFormat="1" applyFont="1" applyFill="1" applyBorder="1" applyAlignment="1" applyProtection="0">
      <alignment vertical="center" wrapText="1"/>
    </xf>
    <xf numFmtId="49" fontId="0" fillId="4" borderId="24" applyNumberFormat="1" applyFont="1" applyFill="1" applyBorder="1" applyAlignment="1" applyProtection="0">
      <alignment vertical="center"/>
    </xf>
    <xf numFmtId="72" fontId="0" fillId="4" borderId="24" applyNumberFormat="1" applyFont="1" applyFill="1" applyBorder="1" applyAlignment="1" applyProtection="0">
      <alignment vertical="center"/>
    </xf>
    <xf numFmtId="0" fontId="0" fillId="4" borderId="69" applyNumberFormat="0" applyFont="1" applyFill="1" applyBorder="1" applyAlignment="1" applyProtection="0">
      <alignment vertical="center"/>
    </xf>
    <xf numFmtId="73" fontId="0" fillId="4" borderId="5" applyNumberFormat="1" applyFont="1" applyFill="1" applyBorder="1" applyAlignment="1" applyProtection="0">
      <alignment vertical="center"/>
    </xf>
    <xf numFmtId="0" fontId="0" fillId="4" borderId="78" applyNumberFormat="0" applyFont="1" applyFill="1" applyBorder="1" applyAlignment="1" applyProtection="0">
      <alignment vertical="center"/>
    </xf>
    <xf numFmtId="0" fontId="0" fillId="4" borderId="70" applyNumberFormat="0" applyFont="1" applyFill="1" applyBorder="1" applyAlignment="1" applyProtection="0">
      <alignment vertical="center"/>
    </xf>
    <xf numFmtId="49" fontId="48" fillId="4" borderId="5" applyNumberFormat="1" applyFont="1" applyFill="1" applyBorder="1" applyAlignment="1" applyProtection="0">
      <alignment horizontal="center" vertical="center"/>
    </xf>
    <xf numFmtId="0" fontId="0" fillId="4" borderId="71" applyNumberFormat="0" applyFont="1" applyFill="1" applyBorder="1" applyAlignment="1" applyProtection="0">
      <alignment vertical="center"/>
    </xf>
    <xf numFmtId="49" fontId="0" fillId="4" borderId="22" applyNumberFormat="1" applyFont="1" applyFill="1" applyBorder="1" applyAlignment="1" applyProtection="0">
      <alignment vertical="center"/>
    </xf>
    <xf numFmtId="0" fontId="0" fillId="4" borderId="79" applyNumberFormat="0" applyFont="1" applyFill="1" applyBorder="1" applyAlignment="1" applyProtection="0">
      <alignment vertical="center"/>
    </xf>
    <xf numFmtId="65" fontId="1" fillId="5" borderId="39" applyNumberFormat="1" applyFont="1" applyFill="1" applyBorder="1" applyAlignment="1" applyProtection="0">
      <alignment horizontal="center" vertical="center" wrapText="1"/>
    </xf>
    <xf numFmtId="65" fontId="1" fillId="5" borderId="40" applyNumberFormat="1" applyFont="1" applyFill="1" applyBorder="1" applyAlignment="1" applyProtection="0">
      <alignment horizontal="center" vertical="center" wrapText="1"/>
    </xf>
    <xf numFmtId="49" fontId="46" fillId="5" borderId="24" applyNumberFormat="1" applyFont="1" applyFill="1" applyBorder="1" applyAlignment="1" applyProtection="0">
      <alignment horizontal="center" vertical="center"/>
    </xf>
    <xf numFmtId="49" fontId="46" fillId="5" borderId="24" applyNumberFormat="1" applyFont="1" applyFill="1" applyBorder="1" applyAlignment="1" applyProtection="0">
      <alignment horizontal="center" vertical="center" wrapText="1"/>
    </xf>
    <xf numFmtId="49" fontId="46" fillId="5" borderId="74" applyNumberFormat="1" applyFont="1" applyFill="1" applyBorder="1" applyAlignment="1" applyProtection="0">
      <alignment horizontal="center" vertical="center" wrapText="1"/>
    </xf>
    <xf numFmtId="65" fontId="1" fillId="5" borderId="64" applyNumberFormat="1" applyFont="1" applyFill="1" applyBorder="1" applyAlignment="1" applyProtection="0">
      <alignment horizontal="center" vertical="center" wrapText="1"/>
    </xf>
    <xf numFmtId="65" fontId="1" fillId="5" borderId="65" applyNumberFormat="1" applyFont="1" applyFill="1" applyBorder="1" applyAlignment="1" applyProtection="0">
      <alignment horizontal="center" vertical="center" wrapText="1"/>
    </xf>
    <xf numFmtId="0" fontId="46" fillId="5" borderId="24" applyNumberFormat="0" applyFont="1" applyFill="1" applyBorder="1" applyAlignment="1" applyProtection="0">
      <alignment horizontal="center" vertical="center"/>
    </xf>
    <xf numFmtId="0" fontId="46" fillId="5" borderId="24" applyNumberFormat="0" applyFont="1" applyFill="1" applyBorder="1" applyAlignment="1" applyProtection="0">
      <alignment horizontal="center" vertical="center" wrapText="1"/>
    </xf>
    <xf numFmtId="0" fontId="46" fillId="5" borderId="77" applyNumberFormat="0" applyFont="1" applyFill="1" applyBorder="1" applyAlignment="1" applyProtection="0">
      <alignment horizontal="center" vertical="center" wrapText="1"/>
    </xf>
    <xf numFmtId="49" fontId="0" fillId="4" borderId="37" applyNumberFormat="1" applyFont="1" applyFill="1" applyBorder="1" applyAlignment="1" applyProtection="0">
      <alignment vertical="center"/>
    </xf>
    <xf numFmtId="59" fontId="0" fillId="4" borderId="37" applyNumberFormat="1" applyFont="1" applyFill="1" applyBorder="1" applyAlignment="1" applyProtection="0">
      <alignment vertical="center"/>
    </xf>
    <xf numFmtId="60" fontId="0" fillId="4" borderId="37" applyNumberFormat="1" applyFont="1" applyFill="1" applyBorder="1" applyAlignment="1" applyProtection="0">
      <alignment vertical="center"/>
    </xf>
    <xf numFmtId="71" fontId="0" fillId="4" borderId="37" applyNumberFormat="1" applyFont="1" applyFill="1" applyBorder="1" applyAlignment="1" applyProtection="0">
      <alignment vertical="center"/>
    </xf>
    <xf numFmtId="0" fontId="47" fillId="4" borderId="37" applyNumberFormat="0" applyFont="1" applyFill="1" applyBorder="1" applyAlignment="1" applyProtection="0">
      <alignment horizontal="center" vertical="center"/>
    </xf>
    <xf numFmtId="71" fontId="0" fillId="4" borderId="5" applyNumberFormat="1" applyFont="1" applyFill="1" applyBorder="1" applyAlignment="1" applyProtection="0">
      <alignment vertical="center"/>
    </xf>
    <xf numFmtId="60" fontId="0" fillId="4" borderId="78" applyNumberFormat="1" applyFont="1" applyFill="1" applyBorder="1" applyAlignment="1" applyProtection="0">
      <alignment vertical="center"/>
    </xf>
    <xf numFmtId="60" fontId="0" fillId="4" borderId="19" applyNumberFormat="1" applyFont="1" applyFill="1" applyBorder="1" applyAlignment="1" applyProtection="0">
      <alignment vertical="center"/>
    </xf>
    <xf numFmtId="0" fontId="0" applyNumberFormat="1" applyFont="1" applyFill="0" applyBorder="0" applyAlignment="1" applyProtection="0">
      <alignment vertical="center"/>
    </xf>
    <xf numFmtId="49" fontId="49" fillId="4" borderId="1" applyNumberFormat="1" applyFont="1" applyFill="1" applyBorder="1" applyAlignment="1" applyProtection="0">
      <alignment vertical="center"/>
    </xf>
    <xf numFmtId="49" fontId="49" fillId="4" borderId="2" applyNumberFormat="1" applyFont="1" applyFill="1" applyBorder="1" applyAlignment="1" applyProtection="0">
      <alignment vertical="center"/>
    </xf>
    <xf numFmtId="49" fontId="50" fillId="4" borderId="4" applyNumberFormat="1" applyFont="1" applyFill="1" applyBorder="1" applyAlignment="1" applyProtection="0">
      <alignment vertical="center"/>
    </xf>
    <xf numFmtId="49" fontId="50" fillId="4" borderId="5" applyNumberFormat="1" applyFont="1" applyFill="1" applyBorder="1" applyAlignment="1" applyProtection="0">
      <alignment vertical="center"/>
    </xf>
    <xf numFmtId="0" fontId="50" fillId="4" borderId="21" applyNumberFormat="0" applyFont="1" applyFill="1" applyBorder="1" applyAlignment="1" applyProtection="0">
      <alignment vertical="center"/>
    </xf>
    <xf numFmtId="49" fontId="0" fillId="4" borderId="22" applyNumberFormat="1" applyFont="1" applyFill="1" applyBorder="1" applyAlignment="1" applyProtection="0">
      <alignment horizontal="center" vertical="center"/>
    </xf>
    <xf numFmtId="0" fontId="50" fillId="4" borderId="22" applyNumberFormat="0" applyFont="1" applyFill="1" applyBorder="1" applyAlignment="1" applyProtection="0">
      <alignment vertical="center"/>
    </xf>
    <xf numFmtId="49" fontId="0" fillId="4" borderId="79" applyNumberFormat="1" applyFont="1" applyFill="1" applyBorder="1" applyAlignment="1" applyProtection="0">
      <alignment horizontal="center" vertical="center"/>
    </xf>
    <xf numFmtId="0" fontId="0" fillId="4" borderId="24" applyNumberFormat="1" applyFont="1" applyFill="1" applyBorder="1" applyAlignment="1" applyProtection="0">
      <alignment vertical="center"/>
    </xf>
    <xf numFmtId="60" fontId="0" fillId="4" borderId="24" applyNumberFormat="1" applyFont="1" applyFill="1" applyBorder="1" applyAlignment="1" applyProtection="0">
      <alignment vertical="center"/>
    </xf>
    <xf numFmtId="60" fontId="0" fillId="4" borderId="80" applyNumberFormat="1" applyFont="1" applyFill="1" applyBorder="1" applyAlignment="1" applyProtection="0">
      <alignment vertical="center"/>
    </xf>
    <xf numFmtId="0" fontId="0" fillId="4" borderId="24" applyNumberFormat="0" applyFont="1" applyFill="1" applyBorder="1" applyAlignment="1" applyProtection="0">
      <alignment vertical="center"/>
    </xf>
    <xf numFmtId="0" fontId="0" fillId="4" borderId="36" applyNumberFormat="0" applyFont="1" applyFill="1" applyBorder="1" applyAlignment="1" applyProtection="0">
      <alignment vertical="center"/>
    </xf>
    <xf numFmtId="49" fontId="0" fillId="4" borderId="21" applyNumberFormat="1" applyFont="1" applyFill="1" applyBorder="1" applyAlignment="1" applyProtection="0">
      <alignment vertical="center"/>
    </xf>
    <xf numFmtId="60" fontId="0" fillId="4" borderId="25" applyNumberFormat="1" applyFont="1" applyFill="1" applyBorder="1" applyAlignment="1" applyProtection="0">
      <alignment vertical="center"/>
    </xf>
    <xf numFmtId="49" fontId="0" fillId="4" borderId="81" applyNumberFormat="1" applyFont="1" applyFill="1" applyBorder="1" applyAlignment="1" applyProtection="0">
      <alignment vertical="center"/>
    </xf>
    <xf numFmtId="0" fontId="0" fillId="4" borderId="82" applyNumberFormat="0" applyFont="1" applyFill="1" applyBorder="1" applyAlignment="1" applyProtection="0">
      <alignment vertical="center"/>
    </xf>
    <xf numFmtId="60" fontId="0" fillId="4" borderId="22" applyNumberFormat="1" applyFont="1" applyFill="1" applyBorder="1" applyAlignment="1" applyProtection="0">
      <alignment vertical="center"/>
    </xf>
    <xf numFmtId="49" fontId="0" fillId="4" borderId="82" applyNumberFormat="1" applyFont="1" applyFill="1" applyBorder="1" applyAlignment="1" applyProtection="0">
      <alignment vertical="center"/>
    </xf>
    <xf numFmtId="60" fontId="0" fillId="4" borderId="82" applyNumberFormat="1" applyFont="1" applyFill="1" applyBorder="1" applyAlignment="1" applyProtection="0">
      <alignment vertical="center"/>
    </xf>
    <xf numFmtId="9" fontId="0" fillId="4" borderId="24" applyNumberFormat="1" applyFont="1" applyFill="1" applyBorder="1" applyAlignment="1" applyProtection="0">
      <alignment vertical="center"/>
    </xf>
    <xf numFmtId="9" fontId="0" fillId="4" borderId="25" applyNumberFormat="1" applyFont="1" applyFill="1" applyBorder="1" applyAlignment="1" applyProtection="0">
      <alignment vertical="center"/>
    </xf>
    <xf numFmtId="9" fontId="0" fillId="4" borderId="5" applyNumberFormat="1" applyFont="1" applyFill="1" applyBorder="1" applyAlignment="1" applyProtection="0">
      <alignment vertical="center"/>
    </xf>
    <xf numFmtId="59" fontId="0" fillId="4" borderId="83" applyNumberFormat="1" applyFont="1" applyFill="1" applyBorder="1" applyAlignment="1" applyProtection="0">
      <alignment horizontal="center" vertical="center"/>
    </xf>
    <xf numFmtId="59" fontId="0" fillId="4" borderId="84" applyNumberFormat="1" applyFont="1" applyFill="1" applyBorder="1" applyAlignment="1" applyProtection="0">
      <alignment horizontal="center" vertical="center"/>
    </xf>
    <xf numFmtId="49" fontId="0" fillId="4" borderId="24" applyNumberFormat="1" applyFont="1" applyFill="1" applyBorder="1" applyAlignment="1" applyProtection="0">
      <alignment horizontal="center" vertical="center"/>
    </xf>
    <xf numFmtId="0" fontId="0" fillId="4" borderId="25" applyNumberFormat="1" applyFont="1" applyFill="1" applyBorder="1" applyAlignment="1" applyProtection="0">
      <alignment vertical="center"/>
    </xf>
    <xf numFmtId="59" fontId="0" fillId="4" borderId="5" applyNumberFormat="1" applyFont="1" applyFill="1" applyBorder="1" applyAlignment="1" applyProtection="0">
      <alignment horizontal="center" vertical="center"/>
    </xf>
    <xf numFmtId="60" fontId="0" fillId="4" borderId="6" applyNumberFormat="1" applyFont="1" applyFill="1" applyBorder="1" applyAlignment="1" applyProtection="0">
      <alignment vertical="center"/>
    </xf>
    <xf numFmtId="49" fontId="51" fillId="4" borderId="24" applyNumberFormat="1" applyFont="1" applyFill="1" applyBorder="1" applyAlignment="1" applyProtection="0">
      <alignment horizontal="center" vertical="center"/>
    </xf>
    <xf numFmtId="49" fontId="0" fillId="4" borderId="85" applyNumberFormat="1" applyFont="1" applyFill="1" applyBorder="1" applyAlignment="1" applyProtection="0">
      <alignment vertical="center"/>
    </xf>
    <xf numFmtId="0" fontId="0" fillId="4" borderId="72" applyNumberFormat="1" applyFont="1" applyFill="1" applyBorder="1" applyAlignment="1" applyProtection="0">
      <alignment vertical="center"/>
    </xf>
    <xf numFmtId="0" fontId="0" applyNumberFormat="1" applyFont="1" applyFill="0" applyBorder="0" applyAlignment="1" applyProtection="0">
      <alignment vertical="center"/>
    </xf>
    <xf numFmtId="49" fontId="0" fillId="4" borderId="24" applyNumberFormat="1" applyFont="1" applyFill="1" applyBorder="1" applyAlignment="1" applyProtection="0">
      <alignment horizontal="center" vertical="center" wrapText="1"/>
    </xf>
    <xf numFmtId="49" fontId="0" fillId="4" borderId="86" applyNumberFormat="1" applyFont="1" applyFill="1" applyBorder="1" applyAlignment="1" applyProtection="0">
      <alignment horizontal="center" vertical="center" wrapText="1"/>
    </xf>
    <xf numFmtId="49" fontId="0" borderId="24" applyNumberFormat="1" applyFont="1" applyFill="0" applyBorder="1" applyAlignment="1" applyProtection="0">
      <alignment horizontal="center" vertical="center"/>
    </xf>
    <xf numFmtId="49" fontId="0" fillId="9" borderId="24" applyNumberFormat="1" applyFont="1" applyFill="1" applyBorder="1" applyAlignment="1" applyProtection="0">
      <alignment horizontal="center" vertical="center"/>
    </xf>
    <xf numFmtId="0" fontId="0" fillId="9" borderId="24" applyNumberFormat="0" applyFont="1" applyFill="1" applyBorder="1" applyAlignment="1" applyProtection="0">
      <alignment horizontal="center" vertical="center"/>
    </xf>
    <xf numFmtId="49" fontId="0" fillId="7" borderId="83" applyNumberFormat="1" applyFont="1" applyFill="1" applyBorder="1" applyAlignment="1" applyProtection="0">
      <alignment horizontal="center" vertical="center"/>
    </xf>
    <xf numFmtId="0" fontId="0" fillId="7" borderId="82" applyNumberFormat="0" applyFont="1" applyFill="1" applyBorder="1" applyAlignment="1" applyProtection="0">
      <alignment horizontal="center" vertical="center"/>
    </xf>
    <xf numFmtId="0" fontId="0" fillId="7" borderId="84" applyNumberFormat="0" applyFont="1" applyFill="1" applyBorder="1" applyAlignment="1" applyProtection="0">
      <alignment horizontal="center" vertical="center"/>
    </xf>
    <xf numFmtId="49" fontId="0" fillId="6" borderId="83" applyNumberFormat="1" applyFont="1" applyFill="1" applyBorder="1" applyAlignment="1" applyProtection="0">
      <alignment horizontal="center" vertical="center"/>
    </xf>
    <xf numFmtId="0" fontId="0" fillId="6" borderId="82" applyNumberFormat="0" applyFont="1" applyFill="1" applyBorder="1" applyAlignment="1" applyProtection="0">
      <alignment horizontal="center" vertical="center"/>
    </xf>
    <xf numFmtId="0" fontId="0" fillId="6" borderId="84" applyNumberFormat="0" applyFont="1" applyFill="1" applyBorder="1" applyAlignment="1" applyProtection="0">
      <alignment horizontal="center" vertical="center"/>
    </xf>
    <xf numFmtId="49" fontId="0" fillId="13" borderId="83" applyNumberFormat="1" applyFont="1" applyFill="1" applyBorder="1" applyAlignment="1" applyProtection="0">
      <alignment horizontal="center" vertical="center"/>
    </xf>
    <xf numFmtId="0" fontId="0" fillId="13" borderId="82" applyNumberFormat="0" applyFont="1" applyFill="1" applyBorder="1" applyAlignment="1" applyProtection="0">
      <alignment horizontal="center" vertical="center"/>
    </xf>
    <xf numFmtId="0" fontId="0" fillId="13" borderId="84" applyNumberFormat="0" applyFont="1" applyFill="1" applyBorder="1" applyAlignment="1" applyProtection="0">
      <alignment horizontal="center" vertical="center"/>
    </xf>
    <xf numFmtId="0" fontId="0" fillId="4" borderId="24" applyNumberFormat="0" applyFont="1" applyFill="1" applyBorder="1" applyAlignment="1" applyProtection="0">
      <alignment horizontal="center" vertical="center" wrapText="1"/>
    </xf>
    <xf numFmtId="0" fontId="0" fillId="4" borderId="87" applyNumberFormat="0" applyFont="1" applyFill="1" applyBorder="1" applyAlignment="1" applyProtection="0">
      <alignment horizontal="center" vertical="center" wrapText="1"/>
    </xf>
    <xf numFmtId="0" fontId="0" borderId="24" applyNumberFormat="0" applyFont="1" applyFill="0" applyBorder="1" applyAlignment="1" applyProtection="0">
      <alignment horizontal="center" vertical="center"/>
    </xf>
    <xf numFmtId="49" fontId="0" fillId="4" borderId="88" applyNumberFormat="1" applyFont="1" applyFill="1" applyBorder="1" applyAlignment="1" applyProtection="0">
      <alignment vertical="center" wrapText="1"/>
    </xf>
    <xf numFmtId="49" fontId="0" fillId="4" borderId="89" applyNumberFormat="1" applyFont="1" applyFill="1" applyBorder="1" applyAlignment="1" applyProtection="0">
      <alignment vertical="center" wrapText="1"/>
    </xf>
    <xf numFmtId="49" fontId="0" fillId="4" borderId="90" applyNumberFormat="1" applyFont="1" applyFill="1" applyBorder="1" applyAlignment="1" applyProtection="0">
      <alignment vertical="center" wrapText="1"/>
    </xf>
    <xf numFmtId="49" fontId="0" borderId="88" applyNumberFormat="1" applyFont="1" applyFill="0" applyBorder="1" applyAlignment="1" applyProtection="0">
      <alignment vertical="center"/>
    </xf>
    <xf numFmtId="60" fontId="46" borderId="88" applyNumberFormat="1" applyFont="1" applyFill="0" applyBorder="1" applyAlignment="1" applyProtection="0">
      <alignment vertical="center"/>
    </xf>
    <xf numFmtId="60" fontId="46" borderId="89" applyNumberFormat="1" applyFont="1" applyFill="0" applyBorder="1" applyAlignment="1" applyProtection="0">
      <alignment vertical="center"/>
    </xf>
    <xf numFmtId="60" fontId="46" borderId="90" applyNumberFormat="1" applyFont="1" applyFill="0" applyBorder="1" applyAlignment="1" applyProtection="0">
      <alignment vertical="center"/>
    </xf>
    <xf numFmtId="71" fontId="46" fillId="4" borderId="88" applyNumberFormat="1" applyFont="1" applyFill="1" applyBorder="1" applyAlignment="1" applyProtection="0">
      <alignment horizontal="right" vertical="center" wrapText="1"/>
    </xf>
    <xf numFmtId="71" fontId="46" fillId="4" borderId="89" applyNumberFormat="1" applyFont="1" applyFill="1" applyBorder="1" applyAlignment="1" applyProtection="0">
      <alignment horizontal="right" vertical="center" wrapText="1"/>
    </xf>
    <xf numFmtId="71" fontId="46" fillId="4" borderId="90" applyNumberFormat="1" applyFont="1" applyFill="1" applyBorder="1" applyAlignment="1" applyProtection="0">
      <alignment horizontal="right" vertical="center" wrapText="1"/>
    </xf>
    <xf numFmtId="60" fontId="46" fillId="4" borderId="88" applyNumberFormat="1" applyFont="1" applyFill="1" applyBorder="1" applyAlignment="1" applyProtection="0">
      <alignment horizontal="right" vertical="center" wrapText="1"/>
    </xf>
    <xf numFmtId="60" fontId="46" fillId="4" borderId="89" applyNumberFormat="1" applyFont="1" applyFill="1" applyBorder="1" applyAlignment="1" applyProtection="0">
      <alignment horizontal="right" vertical="center" wrapText="1"/>
    </xf>
    <xf numFmtId="60" fontId="46" fillId="4" borderId="90" applyNumberFormat="1" applyFont="1" applyFill="1" applyBorder="1" applyAlignment="1" applyProtection="0">
      <alignment horizontal="right" vertical="center" wrapText="1"/>
    </xf>
    <xf numFmtId="60" fontId="46" fillId="4" borderId="24" applyNumberFormat="1" applyFont="1" applyFill="1" applyBorder="1" applyAlignment="1" applyProtection="0">
      <alignment horizontal="right" vertical="center" wrapText="1"/>
    </xf>
    <xf numFmtId="49" fontId="0" borderId="24" applyNumberFormat="1" applyFont="1" applyFill="0" applyBorder="1" applyAlignment="1" applyProtection="0">
      <alignment vertical="center"/>
    </xf>
    <xf numFmtId="60" fontId="0" borderId="88" applyNumberFormat="1" applyFont="1" applyFill="0" applyBorder="1" applyAlignment="1" applyProtection="0">
      <alignment vertical="center"/>
    </xf>
    <xf numFmtId="60" fontId="0" borderId="89" applyNumberFormat="1" applyFont="1" applyFill="0" applyBorder="1" applyAlignment="1" applyProtection="0">
      <alignment vertical="center"/>
    </xf>
    <xf numFmtId="60" fontId="0" borderId="90" applyNumberFormat="1" applyFont="1" applyFill="0" applyBorder="1" applyAlignment="1" applyProtection="0">
      <alignment vertical="center"/>
    </xf>
    <xf numFmtId="71" fontId="0" borderId="88" applyNumberFormat="1" applyFont="1" applyFill="0" applyBorder="1" applyAlignment="1" applyProtection="0">
      <alignment vertical="center"/>
    </xf>
    <xf numFmtId="71" fontId="0" borderId="89" applyNumberFormat="1" applyFont="1" applyFill="0" applyBorder="1" applyAlignment="1" applyProtection="0">
      <alignment vertical="center"/>
    </xf>
    <xf numFmtId="71" fontId="0" borderId="90" applyNumberFormat="1" applyFont="1" applyFill="0" applyBorder="1" applyAlignment="1" applyProtection="0">
      <alignment vertical="center"/>
    </xf>
    <xf numFmtId="0" fontId="0" borderId="36" applyNumberFormat="0" applyFont="1" applyFill="0" applyBorder="1" applyAlignment="1" applyProtection="0">
      <alignment vertical="center"/>
    </xf>
    <xf numFmtId="0" fontId="0" borderId="37" applyNumberFormat="0" applyFont="1" applyFill="0" applyBorder="1" applyAlignment="1" applyProtection="0">
      <alignment vertical="center"/>
    </xf>
    <xf numFmtId="0" fontId="0" borderId="78" applyNumberFormat="0" applyFont="1" applyFill="0" applyBorder="1" applyAlignment="1" applyProtection="0">
      <alignment vertical="center"/>
    </xf>
    <xf numFmtId="49" fontId="0" borderId="91" applyNumberFormat="1" applyFont="1" applyFill="0" applyBorder="1" applyAlignment="1" applyProtection="0">
      <alignment vertical="center"/>
    </xf>
    <xf numFmtId="0" fontId="0" borderId="91" applyNumberFormat="1" applyFont="1" applyFill="0" applyBorder="1" applyAlignment="1" applyProtection="0">
      <alignment vertical="center"/>
    </xf>
    <xf numFmtId="49" fontId="0" borderId="92" applyNumberFormat="1" applyFont="1" applyFill="0" applyBorder="1" applyAlignment="1" applyProtection="0">
      <alignment vertical="center"/>
    </xf>
    <xf numFmtId="0" fontId="0" borderId="92" applyNumberFormat="1" applyFont="1" applyFill="0" applyBorder="1" applyAlignment="1" applyProtection="0">
      <alignment vertical="center"/>
    </xf>
    <xf numFmtId="0" fontId="0" borderId="92" applyNumberFormat="0" applyFont="1" applyFill="0" applyBorder="1" applyAlignment="1" applyProtection="0">
      <alignment vertical="center"/>
    </xf>
  </cellXfs>
  <cellStyles count="1">
    <cellStyle name="Normal" xfId="0" builtinId="0"/>
  </cellStyles>
  <dxfs count="7">
    <dxf>
      <font>
        <color rgb="ffff0000"/>
      </font>
    </dxf>
    <dxf>
      <font>
        <color rgb="ffff0000"/>
      </font>
    </dxf>
    <dxf>
      <font>
        <color rgb="ffff0000"/>
      </font>
    </dxf>
    <dxf>
      <font>
        <color rgb="ffff0000"/>
      </font>
    </dxf>
    <dxf>
      <font>
        <color rgb="ffff0000"/>
      </font>
    </dxf>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00b050"/>
      <rgbColor rgb="ffed7d31"/>
      <rgbColor rgb="ffff0000"/>
      <rgbColor rgb="ff0070c0"/>
      <rgbColor rgb="ff3f3f3f"/>
      <rgbColor rgb="ffd8d8d8"/>
      <rgbColor rgb="ff595959"/>
      <rgbColor rgb="ffff66ff"/>
      <rgbColor rgb="ffd9e2f3"/>
      <rgbColor rgb="ff99ff99"/>
      <rgbColor rgb="ffffccff"/>
      <rgbColor rgb="fff2f2f2"/>
      <rgbColor rgb="fffbe4d5"/>
      <rgbColor rgb="fffff2cb"/>
      <rgbColor rgb="ff4472c4"/>
      <rgbColor rgb="ffff00ff"/>
      <rgbColor rgb="ff00b0f0"/>
      <rgbColor rgb="ffffff00"/>
      <rgbColor rgb="ffe2eeda"/>
      <rgbColor rgb="ff66ffff"/>
      <rgbColor rgb="ffdeeaf6"/>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s>

</file>

<file path=xl/charts/_rels/chart15.xml.rels><?xml version="1.0" encoding="UTF-8"?>
<Relationships xmlns="http://schemas.openxmlformats.org/package/2006/relationships"><Relationship Id="rId1" Type="http://schemas.openxmlformats.org/officeDocument/2006/relationships/image" Target="../media/image5.bmp"/></Relationships>

</file>

<file path=xl/charts/_rels/chart16.xml.rels><?xml version="1.0" encoding="UTF-8"?>
<Relationships xmlns="http://schemas.openxmlformats.org/package/2006/relationships"><Relationship Id="rId1" Type="http://schemas.openxmlformats.org/officeDocument/2006/relationships/image" Target="../media/image6.bmp"/></Relationships>

</file>

<file path=xl/charts/_rels/chart17.xml.rels><?xml version="1.0" encoding="UTF-8"?>
<Relationships xmlns="http://schemas.openxmlformats.org/package/2006/relationships"><Relationship Id="rId1" Type="http://schemas.openxmlformats.org/officeDocument/2006/relationships/image" Target="../media/image7.bmp"/></Relationships>

</file>

<file path=xl/charts/_rels/chart18.xml.rels><?xml version="1.0" encoding="UTF-8"?>
<Relationships xmlns="http://schemas.openxmlformats.org/package/2006/relationships"><Relationship Id="rId1" Type="http://schemas.openxmlformats.org/officeDocument/2006/relationships/image" Target="../media/image8.bmp"/></Relationships>

</file>

<file path=xl/charts/_rels/chart19.xml.rels><?xml version="1.0" encoding="UTF-8"?>
<Relationships xmlns="http://schemas.openxmlformats.org/package/2006/relationships"><Relationship Id="rId1" Type="http://schemas.openxmlformats.org/officeDocument/2006/relationships/image" Target="../media/image9.bmp"/></Relationships>

</file>

<file path=xl/charts/_rels/chart22.xml.rels><?xml version="1.0" encoding="UTF-8"?>
<Relationships xmlns="http://schemas.openxmlformats.org/package/2006/relationships"><Relationship Id="rId1" Type="http://schemas.openxmlformats.org/officeDocument/2006/relationships/image" Target="../media/image10.bmp"/></Relationships>

</file>

<file path=xl/charts/_rels/chart23.xml.rels><?xml version="1.0" encoding="UTF-8"?>
<Relationships xmlns="http://schemas.openxmlformats.org/package/2006/relationships"><Relationship Id="rId1" Type="http://schemas.openxmlformats.org/officeDocument/2006/relationships/image" Target="../media/image11.bmp"/></Relationships>

</file>

<file path=xl/charts/_rels/chart28.xml.rels><?xml version="1.0" encoding="UTF-8"?>
<Relationships xmlns="http://schemas.openxmlformats.org/package/2006/relationships"><Relationship Id="rId1" Type="http://schemas.openxmlformats.org/officeDocument/2006/relationships/image" Target="../media/image12.bmp"/><Relationship Id="rId2" Type="http://schemas.openxmlformats.org/officeDocument/2006/relationships/image" Target="../media/image13.bmp"/></Relationships>

</file>

<file path=xl/charts/_rels/chart6.xml.rels><?xml version="1.0" encoding="UTF-8"?>
<Relationships xmlns="http://schemas.openxmlformats.org/package/2006/relationships"><Relationship Id="rId1" Type="http://schemas.openxmlformats.org/officeDocument/2006/relationships/image" Target="../media/image1.bmp"/><Relationship Id="rId2" Type="http://schemas.openxmlformats.org/officeDocument/2006/relationships/image" Target="../media/image2.bmp"/></Relationships>

</file>

<file path=xl/charts/_rels/chart8.xml.rels><?xml version="1.0" encoding="UTF-8"?>
<Relationships xmlns="http://schemas.openxmlformats.org/package/2006/relationships"><Relationship Id="rId1" Type="http://schemas.openxmlformats.org/officeDocument/2006/relationships/image" Target="../media/image3.bmp"/><Relationship Id="rId2" Type="http://schemas.openxmlformats.org/officeDocument/2006/relationships/image" Target="../media/image4.bmp"/></Relationships>

</file>

<file path=xl/charts/chart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800" u="none">
                <a:solidFill>
                  <a:srgbClr val="595959"/>
                </a:solidFill>
                <a:latin typeface="HG丸ｺﾞｼｯｸM-PRO"/>
              </a:defRPr>
            </a:pPr>
            <a:r>
              <a:rPr b="0" i="0" strike="noStrike" sz="1800" u="none">
                <a:solidFill>
                  <a:srgbClr val="595959"/>
                </a:solidFill>
                <a:latin typeface="HG丸ｺﾞｼｯｸM-PRO"/>
              </a:rPr>
              <a:t>小学生数の推移グラフ</a:t>
            </a:r>
          </a:p>
        </c:rich>
      </c:tx>
      <c:layout>
        <c:manualLayout>
          <c:xMode val="edge"/>
          <c:yMode val="edge"/>
          <c:x val="0.394536"/>
          <c:y val="0"/>
          <c:w val="0.210928"/>
          <c:h val="0.169158"/>
        </c:manualLayout>
      </c:layout>
      <c:overlay val="1"/>
      <c:spPr>
        <a:noFill/>
        <a:effectLst/>
      </c:spPr>
    </c:title>
    <c:autoTitleDeleted val="1"/>
    <c:plotArea>
      <c:layout>
        <c:manualLayout>
          <c:layoutTarget val="inner"/>
          <c:xMode val="edge"/>
          <c:yMode val="edge"/>
          <c:x val="0.0653691"/>
          <c:y val="0.169158"/>
          <c:w val="0.929631"/>
          <c:h val="0.724652"/>
        </c:manualLayout>
      </c:layout>
      <c:barChart>
        <c:barDir val="col"/>
        <c:grouping val="clustered"/>
        <c:varyColors val="0"/>
        <c:ser>
          <c:idx val="0"/>
          <c:order val="0"/>
          <c:tx>
            <c:v>Series1</c:v>
          </c:tx>
          <c:spPr>
            <a:solidFill>
              <a:srgbClr val="0070C0"/>
            </a:solidFill>
            <a:ln w="9525" cap="flat">
              <a:solidFill>
                <a:srgbClr val="0070C0"/>
              </a:solidFill>
              <a:prstDash val="solid"/>
              <a:round/>
            </a:ln>
            <a:effectLst/>
          </c:spPr>
          <c:invertIfNegative val="0"/>
          <c:dLbls>
            <c:numFmt formatCode="#,##0" sourceLinked="1"/>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3"/>
              <c:pt idx="0">
                <c:v>2010</c:v>
              </c:pt>
              <c:pt idx="1">
                <c:v>2015</c:v>
              </c:pt>
              <c:pt idx="2">
                <c:v>2020</c:v>
              </c:pt>
            </c:strLit>
          </c:cat>
          <c:val>
            <c:numLit>
              <c:ptCount val="3"/>
              <c:pt idx="0">
                <c:v>122.000000</c:v>
              </c:pt>
              <c:pt idx="1">
                <c:v>125.000000</c:v>
              </c:pt>
              <c:pt idx="2">
                <c:v>96.000000</c:v>
              </c:pt>
            </c:numLit>
          </c:val>
        </c:ser>
        <c:gapWidth val="219"/>
        <c:overlap val="-27"/>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in val="0"/>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200" u="none">
                <a:solidFill>
                  <a:srgbClr val="595959"/>
                </a:solidFill>
                <a:latin typeface="HG丸ｺﾞｼｯｸM-PRO"/>
              </a:defRPr>
            </a:pPr>
          </a:p>
        </c:txPr>
        <c:crossAx val="2094734552"/>
        <c:crosses val="autoZero"/>
        <c:crossBetween val="between"/>
        <c:majorUnit val="32.5"/>
        <c:minorUnit val="16.25"/>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10.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800" u="none">
                <a:solidFill>
                  <a:srgbClr val="595959"/>
                </a:solidFill>
                <a:latin typeface="HG丸ｺﾞｼｯｸM-PRO"/>
              </a:defRPr>
            </a:pPr>
            <a:r>
              <a:rPr b="0" i="0" strike="noStrike" sz="1800" u="none">
                <a:solidFill>
                  <a:srgbClr val="595959"/>
                </a:solidFill>
                <a:latin typeface="HG丸ｺﾞｼｯｸM-PRO"/>
              </a:rPr>
              <a:t>中学生数の推移グラフ</a:t>
            </a:r>
          </a:p>
        </c:rich>
      </c:tx>
      <c:layout>
        <c:manualLayout>
          <c:xMode val="edge"/>
          <c:yMode val="edge"/>
          <c:x val="0.38015"/>
          <c:y val="0"/>
          <c:w val="0.2397"/>
          <c:h val="0.139292"/>
        </c:manualLayout>
      </c:layout>
      <c:overlay val="1"/>
      <c:spPr>
        <a:noFill/>
        <a:effectLst/>
      </c:spPr>
    </c:title>
    <c:autoTitleDeleted val="1"/>
    <c:plotArea>
      <c:layout>
        <c:manualLayout>
          <c:layoutTarget val="inner"/>
          <c:xMode val="edge"/>
          <c:yMode val="edge"/>
          <c:x val="0.0532585"/>
          <c:y val="0.139292"/>
          <c:w val="0.941742"/>
          <c:h val="0.745916"/>
        </c:manualLayout>
      </c:layout>
      <c:barChart>
        <c:barDir val="col"/>
        <c:grouping val="clustered"/>
        <c:varyColors val="0"/>
        <c:ser>
          <c:idx val="0"/>
          <c:order val="0"/>
          <c:tx>
            <c:v/>
          </c:tx>
          <c:spPr>
            <a:solidFill>
              <a:srgbClr val="0070C0"/>
            </a:solidFill>
            <a:ln w="9525" cap="flat">
              <a:solidFill>
                <a:srgbClr val="0070C0"/>
              </a:solidFill>
              <a:prstDash val="solid"/>
              <a:round/>
            </a:ln>
            <a:effectLst/>
          </c:spPr>
          <c:invertIfNegative val="0"/>
          <c:dPt>
            <c:idx val="0"/>
            <c:spPr>
              <a:solidFill>
                <a:srgbClr val="0070C0"/>
              </a:solidFill>
              <a:ln w="9525" cap="flat">
                <a:solidFill>
                  <a:srgbClr val="0070C0"/>
                </a:solidFill>
                <a:prstDash val="solid"/>
                <a:round/>
              </a:ln>
              <a:effectLst/>
            </c:spPr>
          </c:dPt>
          <c:dPt>
            <c:idx val="1"/>
            <c:spPr>
              <a:solidFill>
                <a:srgbClr val="0070C0"/>
              </a:solidFill>
              <a:ln w="9525" cap="flat">
                <a:solidFill>
                  <a:srgbClr val="0070C0"/>
                </a:solidFill>
                <a:prstDash val="solid"/>
                <a:round/>
              </a:ln>
              <a:effectLst/>
            </c:spPr>
          </c:dPt>
          <c:dPt>
            <c:idx val="2"/>
            <c:spPr>
              <a:solidFill>
                <a:srgbClr val="0070C0"/>
              </a:solidFill>
              <a:ln w="9525" cap="flat">
                <a:solidFill>
                  <a:srgbClr val="0070C0"/>
                </a:solidFill>
                <a:prstDash val="solid"/>
                <a:round/>
              </a:ln>
              <a:effectLst/>
            </c:spPr>
          </c:dPt>
          <c:dPt>
            <c:idx val="3"/>
            <c:spPr>
              <a:solidFill>
                <a:srgbClr val="DAE3F3"/>
              </a:solidFill>
              <a:ln w="9525" cap="flat">
                <a:solidFill>
                  <a:srgbClr val="0070C0"/>
                </a:solidFill>
                <a:prstDash val="solid"/>
                <a:round/>
              </a:ln>
              <a:effectLst/>
            </c:spPr>
          </c:dPt>
          <c:dPt>
            <c:idx val="4"/>
            <c:spPr>
              <a:solidFill>
                <a:srgbClr val="DAE3F3"/>
              </a:solidFill>
              <a:ln w="9525" cap="flat">
                <a:solidFill>
                  <a:srgbClr val="0070C0"/>
                </a:solidFill>
                <a:prstDash val="solid"/>
                <a:round/>
              </a:ln>
              <a:effectLst/>
            </c:spPr>
          </c:dPt>
          <c:dPt>
            <c:idx val="5"/>
            <c:spPr>
              <a:solidFill>
                <a:srgbClr val="DAE3F3"/>
              </a:solidFill>
              <a:ln w="9525" cap="flat">
                <a:solidFill>
                  <a:srgbClr val="0070C0"/>
                </a:solidFill>
                <a:prstDash val="solid"/>
                <a:round/>
              </a:ln>
              <a:effectLst/>
            </c:spPr>
          </c:dPt>
          <c:dPt>
            <c:idx val="6"/>
            <c:spPr>
              <a:solidFill>
                <a:srgbClr val="DAE3F3"/>
              </a:solidFill>
              <a:ln w="9525" cap="flat">
                <a:solidFill>
                  <a:srgbClr val="0070C0"/>
                </a:solidFill>
                <a:prstDash val="solid"/>
                <a:round/>
              </a:ln>
              <a:effectLst/>
            </c:spPr>
          </c:dPt>
          <c:dLbls>
            <c:dLbl>
              <c:idx val="0"/>
              <c:numFmt formatCode="#,##0" sourceLinked="1"/>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1"/>
              <c:numFmt formatCode="#,##0" sourceLinked="1"/>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2"/>
              <c:numFmt formatCode="#,##0" sourceLinked="1"/>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3"/>
              <c:numFmt formatCode="#,##0" sourceLinked="1"/>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4"/>
              <c:numFmt formatCode="#,##0" sourceLinked="1"/>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5"/>
              <c:numFmt formatCode="#,##0" sourceLinked="1"/>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6"/>
              <c:numFmt formatCode="#,##0" sourceLinked="1"/>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numFmt formatCode="#,##0" sourceLinked="1"/>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7"/>
              <c:pt idx="0">
                <c:v>76.000000</c:v>
              </c:pt>
              <c:pt idx="1">
                <c:v>61.000000</c:v>
              </c:pt>
              <c:pt idx="2">
                <c:v>51.000000</c:v>
              </c:pt>
              <c:pt idx="3">
                <c:v>43.000000</c:v>
              </c:pt>
              <c:pt idx="4">
                <c:v>32.000000</c:v>
              </c:pt>
              <c:pt idx="5">
                <c:v>24.000000</c:v>
              </c:pt>
              <c:pt idx="6">
                <c:v>18.000000</c:v>
              </c:pt>
            </c:numLit>
          </c:val>
        </c:ser>
        <c:gapWidth val="100"/>
        <c:overlap val="-27"/>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in val="0"/>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200" u="none">
                <a:solidFill>
                  <a:srgbClr val="595959"/>
                </a:solidFill>
                <a:latin typeface="HG丸ｺﾞｼｯｸM-PRO"/>
              </a:defRPr>
            </a:pPr>
          </a:p>
        </c:txPr>
        <c:crossAx val="2094734552"/>
        <c:crosses val="autoZero"/>
        <c:crossBetween val="between"/>
        <c:majorUnit val="20"/>
        <c:minorUnit val="10"/>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1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800" u="none">
                <a:solidFill>
                  <a:srgbClr val="595959"/>
                </a:solidFill>
                <a:latin typeface="HG丸ｺﾞｼｯｸM-PRO"/>
              </a:defRPr>
            </a:pPr>
            <a:r>
              <a:rPr b="0" i="0" strike="noStrike" sz="1800" u="none">
                <a:solidFill>
                  <a:srgbClr val="595959"/>
                </a:solidFill>
                <a:latin typeface="HG丸ｺﾞｼｯｸM-PRO"/>
              </a:rPr>
              <a:t>６５歳以上の割合の推移グラフ</a:t>
            </a:r>
          </a:p>
        </c:rich>
      </c:tx>
      <c:layout>
        <c:manualLayout>
          <c:xMode val="edge"/>
          <c:yMode val="edge"/>
          <c:x val="0.34358"/>
          <c:y val="0"/>
          <c:w val="0.312841"/>
          <c:h val="0.144279"/>
        </c:manualLayout>
      </c:layout>
      <c:overlay val="1"/>
      <c:spPr>
        <a:noFill/>
        <a:effectLst/>
      </c:spPr>
    </c:title>
    <c:autoTitleDeleted val="1"/>
    <c:plotArea>
      <c:layout>
        <c:manualLayout>
          <c:layoutTarget val="inner"/>
          <c:xMode val="edge"/>
          <c:yMode val="edge"/>
          <c:x val="0.0561801"/>
          <c:y val="0.144279"/>
          <c:w val="0.93882"/>
          <c:h val="0.737266"/>
        </c:manualLayout>
      </c:layout>
      <c:barChart>
        <c:barDir val="col"/>
        <c:grouping val="clustered"/>
        <c:varyColors val="0"/>
        <c:ser>
          <c:idx val="0"/>
          <c:order val="0"/>
          <c:tx>
            <c:v/>
          </c:tx>
          <c:spPr>
            <a:solidFill>
              <a:srgbClr val="0070C0"/>
            </a:solidFill>
            <a:ln w="9525" cap="flat">
              <a:solidFill>
                <a:srgbClr val="0070C0"/>
              </a:solidFill>
              <a:prstDash val="solid"/>
              <a:round/>
            </a:ln>
            <a:effectLst/>
          </c:spPr>
          <c:invertIfNegative val="0"/>
          <c:dPt>
            <c:idx val="0"/>
            <c:spPr>
              <a:solidFill>
                <a:srgbClr val="0070C0"/>
              </a:solidFill>
              <a:ln w="9525" cap="flat">
                <a:solidFill>
                  <a:srgbClr val="0070C0"/>
                </a:solidFill>
                <a:prstDash val="solid"/>
                <a:round/>
              </a:ln>
              <a:effectLst/>
            </c:spPr>
          </c:dPt>
          <c:dPt>
            <c:idx val="1"/>
            <c:spPr>
              <a:solidFill>
                <a:srgbClr val="0070C0"/>
              </a:solidFill>
              <a:ln w="9525" cap="flat">
                <a:solidFill>
                  <a:srgbClr val="0070C0"/>
                </a:solidFill>
                <a:prstDash val="solid"/>
                <a:round/>
              </a:ln>
              <a:effectLst/>
            </c:spPr>
          </c:dPt>
          <c:dPt>
            <c:idx val="2"/>
            <c:spPr>
              <a:solidFill>
                <a:srgbClr val="0070C0"/>
              </a:solidFill>
              <a:ln w="9525" cap="flat">
                <a:solidFill>
                  <a:srgbClr val="0070C0"/>
                </a:solidFill>
                <a:prstDash val="solid"/>
                <a:round/>
              </a:ln>
              <a:effectLst/>
            </c:spPr>
          </c:dPt>
          <c:dPt>
            <c:idx val="3"/>
            <c:spPr>
              <a:solidFill>
                <a:srgbClr val="DAE3F3"/>
              </a:solidFill>
              <a:ln w="9525" cap="flat">
                <a:solidFill>
                  <a:srgbClr val="0070C0"/>
                </a:solidFill>
                <a:prstDash val="solid"/>
                <a:round/>
              </a:ln>
              <a:effectLst/>
            </c:spPr>
          </c:dPt>
          <c:dPt>
            <c:idx val="4"/>
            <c:spPr>
              <a:solidFill>
                <a:srgbClr val="DAE3F3"/>
              </a:solidFill>
              <a:ln w="9525" cap="flat">
                <a:solidFill>
                  <a:srgbClr val="0070C0"/>
                </a:solidFill>
                <a:prstDash val="solid"/>
                <a:round/>
              </a:ln>
              <a:effectLst/>
            </c:spPr>
          </c:dPt>
          <c:dPt>
            <c:idx val="5"/>
            <c:spPr>
              <a:solidFill>
                <a:srgbClr val="DAE3F3"/>
              </a:solidFill>
              <a:ln w="9525" cap="flat">
                <a:solidFill>
                  <a:srgbClr val="0070C0"/>
                </a:solidFill>
                <a:prstDash val="solid"/>
                <a:round/>
              </a:ln>
              <a:effectLst/>
            </c:spPr>
          </c:dPt>
          <c:dPt>
            <c:idx val="6"/>
            <c:spPr>
              <a:solidFill>
                <a:srgbClr val="DAE3F3"/>
              </a:solidFill>
              <a:ln w="9525" cap="flat">
                <a:solidFill>
                  <a:srgbClr val="0070C0"/>
                </a:solidFill>
                <a:prstDash val="solid"/>
                <a:round/>
              </a:ln>
              <a:effectLst/>
            </c:spPr>
          </c:dPt>
          <c:dLbls>
            <c:dLbl>
              <c:idx val="0"/>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dLbl>
            <c:dLbl>
              <c:idx val="1"/>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dLbl>
            <c:dLbl>
              <c:idx val="2"/>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dLbl>
            <c:dLbl>
              <c:idx val="3"/>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dLbl>
            <c:dLbl>
              <c:idx val="4"/>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dLbl>
            <c:dLbl>
              <c:idx val="5"/>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dLbl>
            <c:dLbl>
              <c:idx val="6"/>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dLbl>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7"/>
              <c:pt idx="0">
                <c:v>0.390000</c:v>
              </c:pt>
              <c:pt idx="1">
                <c:v>0.440000</c:v>
              </c:pt>
              <c:pt idx="2">
                <c:v>0.500000</c:v>
              </c:pt>
              <c:pt idx="3">
                <c:v>0.540000</c:v>
              </c:pt>
              <c:pt idx="4">
                <c:v>0.560000</c:v>
              </c:pt>
              <c:pt idx="5">
                <c:v>0.560000</c:v>
              </c:pt>
              <c:pt idx="6">
                <c:v>0.560000</c:v>
              </c:pt>
            </c:numLit>
          </c:val>
        </c:ser>
        <c:gapWidth val="100"/>
        <c:overlap val="-27"/>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ax val="1"/>
          <c:min val="0"/>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200" u="none">
                <a:solidFill>
                  <a:srgbClr val="595959"/>
                </a:solidFill>
                <a:latin typeface="HG丸ｺﾞｼｯｸM-PRO"/>
              </a:defRPr>
            </a:pPr>
          </a:p>
        </c:txPr>
        <c:crossAx val="2094734552"/>
        <c:crosses val="autoZero"/>
        <c:crossBetween val="between"/>
        <c:majorUnit val="0.2"/>
        <c:minorUnit val="0.1"/>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1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800" u="none">
                <a:solidFill>
                  <a:srgbClr val="595959"/>
                </a:solidFill>
                <a:latin typeface="HG丸ｺﾞｼｯｸM-PRO"/>
              </a:defRPr>
            </a:pPr>
            <a:r>
              <a:rPr b="0" i="0" strike="noStrike" sz="1800" u="none">
                <a:solidFill>
                  <a:srgbClr val="595959"/>
                </a:solidFill>
                <a:latin typeface="HG丸ｺﾞｼｯｸM-PRO"/>
              </a:rPr>
              <a:t>７５歳以上の割合の推移グラフ</a:t>
            </a:r>
          </a:p>
        </c:rich>
      </c:tx>
      <c:layout>
        <c:manualLayout>
          <c:xMode val="edge"/>
          <c:yMode val="edge"/>
          <c:x val="0.34358"/>
          <c:y val="0"/>
          <c:w val="0.312841"/>
          <c:h val="0.143993"/>
        </c:manualLayout>
      </c:layout>
      <c:overlay val="1"/>
      <c:spPr>
        <a:noFill/>
        <a:effectLst/>
      </c:spPr>
    </c:title>
    <c:autoTitleDeleted val="1"/>
    <c:plotArea>
      <c:layout>
        <c:manualLayout>
          <c:layoutTarget val="inner"/>
          <c:xMode val="edge"/>
          <c:yMode val="edge"/>
          <c:x val="0.0561801"/>
          <c:y val="0.143993"/>
          <c:w val="0.93882"/>
          <c:h val="0.737763"/>
        </c:manualLayout>
      </c:layout>
      <c:barChart>
        <c:barDir val="col"/>
        <c:grouping val="clustered"/>
        <c:varyColors val="0"/>
        <c:ser>
          <c:idx val="0"/>
          <c:order val="0"/>
          <c:tx>
            <c:v/>
          </c:tx>
          <c:spPr>
            <a:solidFill>
              <a:srgbClr val="0070C0"/>
            </a:solidFill>
            <a:ln w="9525" cap="flat">
              <a:solidFill>
                <a:srgbClr val="0070C0"/>
              </a:solidFill>
              <a:prstDash val="solid"/>
              <a:round/>
            </a:ln>
            <a:effectLst/>
          </c:spPr>
          <c:invertIfNegative val="0"/>
          <c:dPt>
            <c:idx val="0"/>
            <c:spPr>
              <a:solidFill>
                <a:srgbClr val="0070C0"/>
              </a:solidFill>
              <a:ln w="9525" cap="flat">
                <a:solidFill>
                  <a:srgbClr val="0070C0"/>
                </a:solidFill>
                <a:prstDash val="solid"/>
                <a:round/>
              </a:ln>
              <a:effectLst/>
            </c:spPr>
          </c:dPt>
          <c:dPt>
            <c:idx val="1"/>
            <c:spPr>
              <a:solidFill>
                <a:srgbClr val="0070C0"/>
              </a:solidFill>
              <a:ln w="9525" cap="flat">
                <a:solidFill>
                  <a:srgbClr val="0070C0"/>
                </a:solidFill>
                <a:prstDash val="solid"/>
                <a:round/>
              </a:ln>
              <a:effectLst/>
            </c:spPr>
          </c:dPt>
          <c:dPt>
            <c:idx val="2"/>
            <c:spPr>
              <a:solidFill>
                <a:srgbClr val="0070C0"/>
              </a:solidFill>
              <a:ln w="9525" cap="flat">
                <a:solidFill>
                  <a:srgbClr val="0070C0"/>
                </a:solidFill>
                <a:prstDash val="solid"/>
                <a:round/>
              </a:ln>
              <a:effectLst/>
            </c:spPr>
          </c:dPt>
          <c:dPt>
            <c:idx val="3"/>
            <c:spPr>
              <a:solidFill>
                <a:srgbClr val="DAE3F3"/>
              </a:solidFill>
              <a:ln w="9525" cap="flat">
                <a:solidFill>
                  <a:srgbClr val="0070C0"/>
                </a:solidFill>
                <a:prstDash val="solid"/>
                <a:round/>
              </a:ln>
              <a:effectLst/>
            </c:spPr>
          </c:dPt>
          <c:dPt>
            <c:idx val="4"/>
            <c:spPr>
              <a:solidFill>
                <a:srgbClr val="DAE3F3"/>
              </a:solidFill>
              <a:ln w="9525" cap="flat">
                <a:solidFill>
                  <a:srgbClr val="0070C0"/>
                </a:solidFill>
                <a:prstDash val="solid"/>
                <a:round/>
              </a:ln>
              <a:effectLst/>
            </c:spPr>
          </c:dPt>
          <c:dPt>
            <c:idx val="5"/>
            <c:spPr>
              <a:solidFill>
                <a:srgbClr val="DAE3F3"/>
              </a:solidFill>
              <a:ln w="9525" cap="flat">
                <a:solidFill>
                  <a:srgbClr val="0070C0"/>
                </a:solidFill>
                <a:prstDash val="solid"/>
                <a:round/>
              </a:ln>
              <a:effectLst/>
            </c:spPr>
          </c:dPt>
          <c:dPt>
            <c:idx val="6"/>
            <c:spPr>
              <a:solidFill>
                <a:srgbClr val="DAE3F3"/>
              </a:solidFill>
              <a:ln w="9525" cap="flat">
                <a:solidFill>
                  <a:srgbClr val="0070C0"/>
                </a:solidFill>
                <a:prstDash val="solid"/>
                <a:round/>
              </a:ln>
              <a:effectLst/>
            </c:spPr>
          </c:dPt>
          <c:dLbls>
            <c:dLbl>
              <c:idx val="0"/>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dLbl>
            <c:dLbl>
              <c:idx val="1"/>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dLbl>
            <c:dLbl>
              <c:idx val="2"/>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dLbl>
            <c:dLbl>
              <c:idx val="3"/>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dLbl>
            <c:dLbl>
              <c:idx val="4"/>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dLbl>
            <c:dLbl>
              <c:idx val="5"/>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dLbl>
            <c:dLbl>
              <c:idx val="6"/>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dLbl>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7"/>
              <c:pt idx="0">
                <c:v>0.220000</c:v>
              </c:pt>
              <c:pt idx="1">
                <c:v>0.250000</c:v>
              </c:pt>
              <c:pt idx="2">
                <c:v>0.280000</c:v>
              </c:pt>
              <c:pt idx="3">
                <c:v>0.320000</c:v>
              </c:pt>
              <c:pt idx="4">
                <c:v>0.360000</c:v>
              </c:pt>
              <c:pt idx="5">
                <c:v>0.390000</c:v>
              </c:pt>
              <c:pt idx="6">
                <c:v>0.390000</c:v>
              </c:pt>
            </c:numLit>
          </c:val>
        </c:ser>
        <c:gapWidth val="100"/>
        <c:overlap val="-27"/>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ax val="1"/>
          <c:min val="0"/>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200" u="none">
                <a:solidFill>
                  <a:srgbClr val="595959"/>
                </a:solidFill>
                <a:latin typeface="HG丸ｺﾞｼｯｸM-PRO"/>
              </a:defRPr>
            </a:pPr>
          </a:p>
        </c:txPr>
        <c:crossAx val="2094734552"/>
        <c:crosses val="autoZero"/>
        <c:crossBetween val="between"/>
        <c:majorUnit val="0.2"/>
        <c:minorUnit val="0.1"/>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1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600" u="none">
                <a:solidFill>
                  <a:srgbClr val="595959"/>
                </a:solidFill>
                <a:latin typeface="HG丸ｺﾞｼｯｸM-PRO"/>
              </a:defRPr>
            </a:pPr>
            <a:r>
              <a:rPr b="0" i="0" strike="noStrike" sz="1600" u="none">
                <a:solidFill>
                  <a:srgbClr val="595959"/>
                </a:solidFill>
                <a:latin typeface="HG丸ｺﾞｼｯｸM-PRO"/>
              </a:rPr>
              <a:t>人口ピラミッド（これまでの傾向が続いた場合）</a:t>
            </a:r>
          </a:p>
        </c:rich>
      </c:tx>
      <c:layout>
        <c:manualLayout>
          <c:xMode val="edge"/>
          <c:yMode val="edge"/>
          <c:x val="0.300969"/>
          <c:y val="0"/>
          <c:w val="0.398063"/>
          <c:h val="0.0548708"/>
        </c:manualLayout>
      </c:layout>
      <c:overlay val="1"/>
      <c:spPr>
        <a:noFill/>
        <a:effectLst/>
      </c:spPr>
    </c:title>
    <c:autoTitleDeleted val="1"/>
    <c:plotArea>
      <c:layout>
        <c:manualLayout>
          <c:layoutTarget val="inner"/>
          <c:xMode val="edge"/>
          <c:yMode val="edge"/>
          <c:x val="0.122262"/>
          <c:y val="0.0548708"/>
          <c:w val="0.860473"/>
          <c:h val="0.90141"/>
        </c:manualLayout>
      </c:layout>
      <c:barChart>
        <c:barDir val="bar"/>
        <c:grouping val="clustered"/>
        <c:varyColors val="0"/>
        <c:ser>
          <c:idx val="0"/>
          <c:order val="0"/>
          <c:tx>
            <c:v>男性</c:v>
          </c:tx>
          <c:spPr>
            <a:solidFill>
              <a:srgbClr val="99FF99"/>
            </a:solidFill>
            <a:ln w="9525" cap="flat">
              <a:solidFill>
                <a:srgbClr val="000000"/>
              </a:solidFill>
              <a:prstDash val="solid"/>
              <a:round/>
            </a:ln>
            <a:effectLst/>
          </c:spPr>
          <c:invertIfNegative val="0"/>
          <c:dLbls>
            <c:numFmt formatCode="#,##0" sourceLinked="1"/>
            <c:txPr>
              <a:bodyPr/>
              <a:lstStyle/>
              <a:p>
                <a:pPr>
                  <a:defRPr b="0" i="0" strike="noStrike" sz="10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Lit>
          </c:cat>
          <c:val>
            <c:numLit>
              <c:ptCount val="21"/>
              <c:pt idx="0">
                <c:v>0.000000</c:v>
              </c:pt>
              <c:pt idx="1">
                <c:v>6.000000</c:v>
              </c:pt>
              <c:pt idx="2">
                <c:v>30.000000</c:v>
              </c:pt>
              <c:pt idx="3">
                <c:v>59.000000</c:v>
              </c:pt>
              <c:pt idx="4">
                <c:v>116.000000</c:v>
              </c:pt>
              <c:pt idx="5">
                <c:v>116.000000</c:v>
              </c:pt>
              <c:pt idx="6">
                <c:v>137.000000</c:v>
              </c:pt>
              <c:pt idx="7">
                <c:v>76.000000</c:v>
              </c:pt>
              <c:pt idx="8">
                <c:v>61.000000</c:v>
              </c:pt>
              <c:pt idx="9">
                <c:v>66.000000</c:v>
              </c:pt>
              <c:pt idx="10">
                <c:v>73.000000</c:v>
              </c:pt>
              <c:pt idx="11">
                <c:v>49.000000</c:v>
              </c:pt>
              <c:pt idx="12">
                <c:v>30.000000</c:v>
              </c:pt>
              <c:pt idx="13">
                <c:v>35.000000</c:v>
              </c:pt>
              <c:pt idx="14">
                <c:v>20.000000</c:v>
              </c:pt>
              <c:pt idx="15">
                <c:v>16.000000</c:v>
              </c:pt>
              <c:pt idx="16">
                <c:v>32.000000</c:v>
              </c:pt>
              <c:pt idx="17">
                <c:v>32.000000</c:v>
              </c:pt>
              <c:pt idx="18">
                <c:v>31.000000</c:v>
              </c:pt>
              <c:pt idx="19">
                <c:v>24.000000</c:v>
              </c:pt>
              <c:pt idx="20">
                <c:v>17.000000</c:v>
              </c:pt>
            </c:numLit>
          </c:val>
        </c:ser>
        <c:ser>
          <c:idx val="1"/>
          <c:order val="1"/>
          <c:tx>
            <c:v>女性</c:v>
          </c:tx>
          <c:spPr>
            <a:solidFill>
              <a:srgbClr val="FFCCFF"/>
            </a:solidFill>
            <a:ln w="9525" cap="flat">
              <a:solidFill>
                <a:srgbClr val="000000"/>
              </a:solidFill>
              <a:prstDash val="solid"/>
              <a:round/>
            </a:ln>
            <a:effectLst/>
          </c:spPr>
          <c:invertIfNegative val="0"/>
          <c:dLbls>
            <c:numFmt formatCode="#,##0" sourceLinked="1"/>
            <c:txPr>
              <a:bodyPr/>
              <a:lstStyle/>
              <a:p>
                <a:pPr>
                  <a:defRPr b="0" i="0" strike="noStrike" sz="10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Lit>
          </c:cat>
          <c:val>
            <c:numLit>
              <c:ptCount val="21"/>
              <c:pt idx="0">
                <c:v>1.000000</c:v>
              </c:pt>
              <c:pt idx="1">
                <c:v>13.000000</c:v>
              </c:pt>
              <c:pt idx="2">
                <c:v>53.000000</c:v>
              </c:pt>
              <c:pt idx="3">
                <c:v>87.000000</c:v>
              </c:pt>
              <c:pt idx="4">
                <c:v>136.000000</c:v>
              </c:pt>
              <c:pt idx="5">
                <c:v>138.000000</c:v>
              </c:pt>
              <c:pt idx="6">
                <c:v>123.000000</c:v>
              </c:pt>
              <c:pt idx="7">
                <c:v>97.000000</c:v>
              </c:pt>
              <c:pt idx="8">
                <c:v>71.000000</c:v>
              </c:pt>
              <c:pt idx="9">
                <c:v>49.000000</c:v>
              </c:pt>
              <c:pt idx="10">
                <c:v>70.000000</c:v>
              </c:pt>
              <c:pt idx="11">
                <c:v>44.000000</c:v>
              </c:pt>
              <c:pt idx="12">
                <c:v>44.000000</c:v>
              </c:pt>
              <c:pt idx="13">
                <c:v>30.000000</c:v>
              </c:pt>
              <c:pt idx="14">
                <c:v>22.000000</c:v>
              </c:pt>
              <c:pt idx="15">
                <c:v>24.000000</c:v>
              </c:pt>
              <c:pt idx="16">
                <c:v>22.000000</c:v>
              </c:pt>
              <c:pt idx="17">
                <c:v>26.000000</c:v>
              </c:pt>
              <c:pt idx="18">
                <c:v>19.000000</c:v>
              </c:pt>
              <c:pt idx="19">
                <c:v>17.000000</c:v>
              </c:pt>
              <c:pt idx="20">
                <c:v>14.000000</c:v>
              </c:pt>
            </c:numLit>
          </c:val>
        </c:ser>
        <c:gapWidth val="0"/>
        <c:overlap val="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ax val="300"/>
          <c:min val="-450"/>
        </c:scaling>
        <c:delete val="0"/>
        <c:axPos val="b"/>
        <c:majorGridlines>
          <c:spPr>
            <a:ln w="12700" cap="flat">
              <a:solidFill>
                <a:srgbClr val="D9D9D9"/>
              </a:solidFill>
              <a:prstDash val="solid"/>
              <a:round/>
            </a:ln>
          </c:spPr>
        </c:majorGridlines>
        <c:numFmt formatCode="#,##0;&quot; &quot;" sourceLinked="0"/>
        <c:majorTickMark val="none"/>
        <c:minorTickMark val="none"/>
        <c:tickLblPos val="high"/>
        <c:spPr>
          <a:ln w="12700" cap="flat">
            <a:noFill/>
            <a:prstDash val="solid"/>
            <a:round/>
          </a:ln>
        </c:spPr>
        <c:txPr>
          <a:bodyPr rot="0"/>
          <a:lstStyle/>
          <a:p>
            <a:pPr>
              <a:defRPr b="0" i="0" strike="noStrike" sz="1100" u="none">
                <a:solidFill>
                  <a:srgbClr val="595959"/>
                </a:solidFill>
                <a:latin typeface="HG丸ｺﾞｼｯｸM-PRO"/>
              </a:defRPr>
            </a:pPr>
          </a:p>
        </c:txPr>
        <c:crossAx val="2094734552"/>
        <c:crosses val="min"/>
        <c:crossBetween val="between"/>
        <c:majorUnit val="150"/>
        <c:minorUnit val="75"/>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1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600" u="none">
                <a:solidFill>
                  <a:srgbClr val="595959"/>
                </a:solidFill>
                <a:latin typeface="HG丸ｺﾞｼｯｸM-PRO"/>
              </a:defRPr>
            </a:pPr>
            <a:r>
              <a:rPr b="0" i="0" strike="noStrike" sz="1600" u="none">
                <a:solidFill>
                  <a:srgbClr val="595959"/>
                </a:solidFill>
                <a:latin typeface="HG丸ｺﾞｼｯｸM-PRO"/>
              </a:rPr>
              <a:t>人口ピラミッド（これまでの傾向が続いた場合）</a:t>
            </a:r>
          </a:p>
        </c:rich>
      </c:tx>
      <c:layout>
        <c:manualLayout>
          <c:xMode val="edge"/>
          <c:yMode val="edge"/>
          <c:x val="0.300672"/>
          <c:y val="0"/>
          <c:w val="0.398656"/>
          <c:h val="0.0549077"/>
        </c:manualLayout>
      </c:layout>
      <c:overlay val="1"/>
      <c:spPr>
        <a:noFill/>
        <a:effectLst/>
      </c:spPr>
    </c:title>
    <c:autoTitleDeleted val="1"/>
    <c:plotArea>
      <c:layout>
        <c:manualLayout>
          <c:layoutTarget val="inner"/>
          <c:xMode val="edge"/>
          <c:yMode val="edge"/>
          <c:x val="0.122444"/>
          <c:y val="0.0549077"/>
          <c:w val="0.860264"/>
          <c:h val="0.901352"/>
        </c:manualLayout>
      </c:layout>
      <c:barChart>
        <c:barDir val="bar"/>
        <c:grouping val="clustered"/>
        <c:varyColors val="0"/>
        <c:ser>
          <c:idx val="0"/>
          <c:order val="0"/>
          <c:tx>
            <c:v>男性</c:v>
          </c:tx>
          <c:spPr>
            <a:solidFill>
              <a:srgbClr val="99FF99"/>
            </a:solidFill>
            <a:ln w="9525" cap="flat">
              <a:solidFill>
                <a:srgbClr val="000000"/>
              </a:solidFill>
              <a:prstDash val="solid"/>
              <a:round/>
            </a:ln>
            <a:effectLst/>
          </c:spPr>
          <c:invertIfNegative val="0"/>
          <c:dLbls>
            <c:numFmt formatCode="#,##0" sourceLinked="1"/>
            <c:txPr>
              <a:bodyPr/>
              <a:lstStyle/>
              <a:p>
                <a:pPr>
                  <a:defRPr b="0" i="0" strike="noStrike" sz="10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Lit>
          </c:cat>
          <c:val>
            <c:numLit>
              <c:ptCount val="21"/>
              <c:pt idx="0">
                <c:v>0.000000</c:v>
              </c:pt>
              <c:pt idx="1">
                <c:v>5.000000</c:v>
              </c:pt>
              <c:pt idx="2">
                <c:v>29.000000</c:v>
              </c:pt>
              <c:pt idx="3">
                <c:v>57.000000</c:v>
              </c:pt>
              <c:pt idx="4">
                <c:v>91.000000</c:v>
              </c:pt>
              <c:pt idx="5">
                <c:v>58.000000</c:v>
              </c:pt>
              <c:pt idx="6">
                <c:v>52.000000</c:v>
              </c:pt>
              <c:pt idx="7">
                <c:v>61.000000</c:v>
              </c:pt>
              <c:pt idx="8">
                <c:v>70.000000</c:v>
              </c:pt>
              <c:pt idx="9">
                <c:v>46.000000</c:v>
              </c:pt>
              <c:pt idx="10">
                <c:v>29.000000</c:v>
              </c:pt>
              <c:pt idx="11">
                <c:v>32.000000</c:v>
              </c:pt>
              <c:pt idx="12">
                <c:v>18.000000</c:v>
              </c:pt>
              <c:pt idx="13">
                <c:v>14.000000</c:v>
              </c:pt>
              <c:pt idx="14">
                <c:v>13.000000</c:v>
              </c:pt>
              <c:pt idx="15">
                <c:v>13.000000</c:v>
              </c:pt>
              <c:pt idx="16">
                <c:v>23.000000</c:v>
              </c:pt>
              <c:pt idx="17">
                <c:v>20.000000</c:v>
              </c:pt>
              <c:pt idx="18">
                <c:v>18.000000</c:v>
              </c:pt>
              <c:pt idx="19">
                <c:v>14.000000</c:v>
              </c:pt>
              <c:pt idx="20">
                <c:v>11.000000</c:v>
              </c:pt>
            </c:numLit>
          </c:val>
        </c:ser>
        <c:ser>
          <c:idx val="1"/>
          <c:order val="1"/>
          <c:tx>
            <c:v>女性</c:v>
          </c:tx>
          <c:spPr>
            <a:solidFill>
              <a:srgbClr val="FFCCFF"/>
            </a:solidFill>
            <a:ln w="9525" cap="flat">
              <a:solidFill>
                <a:srgbClr val="000000"/>
              </a:solidFill>
              <a:prstDash val="solid"/>
              <a:round/>
            </a:ln>
            <a:effectLst/>
          </c:spPr>
          <c:invertIfNegative val="0"/>
          <c:dLbls>
            <c:numFmt formatCode="#,##0" sourceLinked="1"/>
            <c:txPr>
              <a:bodyPr/>
              <a:lstStyle/>
              <a:p>
                <a:pPr>
                  <a:defRPr b="0" i="0" strike="noStrike" sz="10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Lit>
          </c:cat>
          <c:val>
            <c:numLit>
              <c:ptCount val="21"/>
              <c:pt idx="0">
                <c:v>1.000000</c:v>
              </c:pt>
              <c:pt idx="1">
                <c:v>9.000000</c:v>
              </c:pt>
              <c:pt idx="2">
                <c:v>48.000000</c:v>
              </c:pt>
              <c:pt idx="3">
                <c:v>81.000000</c:v>
              </c:pt>
              <c:pt idx="4">
                <c:v>91.000000</c:v>
              </c:pt>
              <c:pt idx="5">
                <c:v>84.000000</c:v>
              </c:pt>
              <c:pt idx="6">
                <c:v>66.000000</c:v>
              </c:pt>
              <c:pt idx="7">
                <c:v>48.000000</c:v>
              </c:pt>
              <c:pt idx="8">
                <c:v>69.000000</c:v>
              </c:pt>
              <c:pt idx="9">
                <c:v>44.000000</c:v>
              </c:pt>
              <c:pt idx="10">
                <c:v>41.000000</c:v>
              </c:pt>
              <c:pt idx="11">
                <c:v>25.000000</c:v>
              </c:pt>
              <c:pt idx="12">
                <c:v>18.000000</c:v>
              </c:pt>
              <c:pt idx="13">
                <c:v>19.000000</c:v>
              </c:pt>
              <c:pt idx="14">
                <c:v>19.000000</c:v>
              </c:pt>
              <c:pt idx="15">
                <c:v>15.000000</c:v>
              </c:pt>
              <c:pt idx="16">
                <c:v>10.000000</c:v>
              </c:pt>
              <c:pt idx="17">
                <c:v>12.000000</c:v>
              </c:pt>
              <c:pt idx="18">
                <c:v>11.000000</c:v>
              </c:pt>
              <c:pt idx="19">
                <c:v>10.000000</c:v>
              </c:pt>
              <c:pt idx="20">
                <c:v>9.000000</c:v>
              </c:pt>
            </c:numLit>
          </c:val>
        </c:ser>
        <c:gapWidth val="0"/>
        <c:overlap val="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ax val="300"/>
          <c:min val="-450"/>
        </c:scaling>
        <c:delete val="0"/>
        <c:axPos val="b"/>
        <c:majorGridlines>
          <c:spPr>
            <a:ln w="12700" cap="flat">
              <a:solidFill>
                <a:srgbClr val="D9D9D9"/>
              </a:solidFill>
              <a:prstDash val="solid"/>
              <a:round/>
            </a:ln>
          </c:spPr>
        </c:majorGridlines>
        <c:numFmt formatCode="#,##0;&quot; &quot;" sourceLinked="0"/>
        <c:majorTickMark val="none"/>
        <c:minorTickMark val="none"/>
        <c:tickLblPos val="high"/>
        <c:spPr>
          <a:ln w="12700" cap="flat">
            <a:noFill/>
            <a:prstDash val="solid"/>
            <a:round/>
          </a:ln>
        </c:spPr>
        <c:txPr>
          <a:bodyPr rot="0"/>
          <a:lstStyle/>
          <a:p>
            <a:pPr>
              <a:defRPr b="0" i="0" strike="noStrike" sz="1100" u="none">
                <a:solidFill>
                  <a:srgbClr val="595959"/>
                </a:solidFill>
                <a:latin typeface="HG丸ｺﾞｼｯｸM-PRO"/>
              </a:defRPr>
            </a:pPr>
          </a:p>
        </c:txPr>
        <c:crossAx val="2094734552"/>
        <c:crosses val="min"/>
        <c:crossBetween val="between"/>
        <c:majorUnit val="150"/>
        <c:minorUnit val="75"/>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15.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2000" u="none">
                <a:solidFill>
                  <a:srgbClr val="595959"/>
                </a:solidFill>
                <a:latin typeface="HG丸ｺﾞｼｯｸM-PRO"/>
              </a:defRPr>
            </a:pPr>
            <a:r>
              <a:rPr b="0" i="0" strike="noStrike" sz="2000" u="none">
                <a:solidFill>
                  <a:srgbClr val="595959"/>
                </a:solidFill>
                <a:latin typeface="HG丸ｺﾞｼｯｸM-PRO"/>
              </a:rPr>
              <a:t>総人口の推移グラフ</a:t>
            </a:r>
          </a:p>
        </c:rich>
      </c:tx>
      <c:layout>
        <c:manualLayout>
          <c:xMode val="edge"/>
          <c:yMode val="edge"/>
          <c:x val="0.393955"/>
          <c:y val="0"/>
          <c:w val="0.198756"/>
          <c:h val="0.0789495"/>
        </c:manualLayout>
      </c:layout>
      <c:overlay val="1"/>
      <c:spPr>
        <a:noFill/>
        <a:effectLst/>
      </c:spPr>
    </c:title>
    <c:autoTitleDeleted val="1"/>
    <c:plotArea>
      <c:layout>
        <c:manualLayout>
          <c:layoutTarget val="inner"/>
          <c:xMode val="edge"/>
          <c:yMode val="edge"/>
          <c:x val="0.0732244"/>
          <c:y val="0.0789495"/>
          <c:w val="0.913443"/>
          <c:h val="0.865593"/>
        </c:manualLayout>
      </c:layout>
      <c:barChart>
        <c:barDir val="col"/>
        <c:grouping val="clustered"/>
        <c:varyColors val="0"/>
        <c:ser>
          <c:idx val="0"/>
          <c:order val="0"/>
          <c:tx>
            <c:v>これまでの傾向が続いた場合</c:v>
          </c:tx>
          <c:spPr>
            <a:solidFill>
              <a:srgbClr val="DAE3F3"/>
            </a:solidFill>
            <a:ln w="9525" cap="flat">
              <a:solidFill>
                <a:schemeClr val="accent5"/>
              </a:solidFill>
              <a:prstDash val="solid"/>
              <a:round/>
            </a:ln>
            <a:effectLst/>
          </c:spPr>
          <c:invertIfNegative val="0"/>
          <c:dLbls>
            <c:numFmt formatCode="#,##0" sourceLinked="1"/>
            <c:txPr>
              <a:bodyPr/>
              <a:lstStyle/>
              <a:p>
                <a:pPr>
                  <a:defRPr b="0" i="0" strike="noStrike" sz="12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7"/>
              <c:pt idx="0">
                <c:v>4018.000000</c:v>
              </c:pt>
              <c:pt idx="1">
                <c:v>3521.000000</c:v>
              </c:pt>
              <c:pt idx="2">
                <c:v>3044.000000</c:v>
              </c:pt>
              <c:pt idx="3">
                <c:v>2566.000000</c:v>
              </c:pt>
              <c:pt idx="4">
                <c:v>2126.000000</c:v>
              </c:pt>
              <c:pt idx="5">
                <c:v>1739.000000</c:v>
              </c:pt>
              <c:pt idx="6">
                <c:v>1404.000000</c:v>
              </c:pt>
            </c:numLit>
          </c:val>
        </c:ser>
        <c:ser>
          <c:idx val="1"/>
          <c:order val="1"/>
          <c:tx>
            <c:v>移住受入を進めた場合</c:v>
          </c:tx>
          <c:spPr>
            <a:blipFill rotWithShape="1">
              <a:blip r:embed="rId1"/>
              <a:srcRect l="0" t="0" r="0" b="0"/>
              <a:tile tx="0" ty="0" sx="100000" sy="100000" flip="none" algn="tl"/>
            </a:blipFill>
            <a:ln w="9525" cap="flat">
              <a:solidFill>
                <a:srgbClr val="FF0000"/>
              </a:solidFill>
              <a:prstDash val="solid"/>
              <a:round/>
            </a:ln>
            <a:effectLst/>
          </c:spPr>
          <c:invertIfNegative val="0"/>
          <c:dLbls>
            <c:numFmt formatCode="#,##0_);\(#,##0\)" sourceLinked="0"/>
            <c:txPr>
              <a:bodyPr/>
              <a:lstStyle/>
              <a:p>
                <a:pPr>
                  <a:defRPr b="0" i="0" strike="noStrike" sz="1200" u="none">
                    <a:solidFill>
                      <a:srgbClr val="FF0000"/>
                    </a:solidFill>
                    <a:latin typeface="HG丸ｺﾞｼｯｸM-PRO"/>
                  </a:defRPr>
                </a:pPr>
              </a:p>
            </c:txPr>
            <c:dLblPos val="outEnd"/>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4"/>
              <c:pt idx="3">
                <c:v>2575.000000</c:v>
              </c:pt>
              <c:pt idx="4">
                <c:v>2144.000000</c:v>
              </c:pt>
              <c:pt idx="5">
                <c:v>1767.000000</c:v>
              </c:pt>
              <c:pt idx="6">
                <c:v>1439.000000</c:v>
              </c:pt>
            </c:numLit>
          </c:val>
        </c:ser>
        <c:gapWidth val="219"/>
        <c:overlap val="-27"/>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in val="0"/>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200" u="none">
                <a:solidFill>
                  <a:srgbClr val="595959"/>
                </a:solidFill>
                <a:latin typeface="HG丸ｺﾞｼｯｸM-PRO"/>
              </a:defRPr>
            </a:pPr>
          </a:p>
        </c:txPr>
        <c:crossAx val="2094734552"/>
        <c:crosses val="autoZero"/>
        <c:crossBetween val="between"/>
        <c:majorUnit val="1250"/>
        <c:minorUnit val="625"/>
      </c:valAx>
      <c:spPr>
        <a:noFill/>
        <a:ln w="12700" cap="flat">
          <a:noFill/>
          <a:miter lim="400000"/>
        </a:ln>
        <a:effectLst/>
      </c:spPr>
    </c:plotArea>
    <c:legend>
      <c:legendPos val="t"/>
      <c:layout>
        <c:manualLayout>
          <c:xMode val="edge"/>
          <c:yMode val="edge"/>
          <c:x val="0.0687992"/>
          <c:y val="0.0408055"/>
          <c:w val="0.931201"/>
          <c:h val="0.0575086"/>
        </c:manualLayout>
      </c:layout>
      <c:overlay val="1"/>
      <c:spPr>
        <a:noFill/>
        <a:ln w="12700" cap="flat">
          <a:noFill/>
          <a:miter lim="400000"/>
        </a:ln>
        <a:effectLst/>
      </c:spPr>
      <c:txPr>
        <a:bodyPr rot="0"/>
        <a:lstStyle/>
        <a:p>
          <a:pPr>
            <a:defRPr b="0" i="0" strike="noStrike" sz="1400" u="none">
              <a:solidFill>
                <a:srgbClr val="595959"/>
              </a:solidFill>
              <a:latin typeface="HG丸ｺﾞｼｯｸM-PRO"/>
            </a:defRPr>
          </a:pPr>
        </a:p>
      </c:txPr>
    </c:legend>
    <c:plotVisOnly val="1"/>
    <c:dispBlanksAs val="gap"/>
  </c:chart>
  <c:spPr>
    <a:solidFill>
      <a:srgbClr val="FFFFFF"/>
    </a:solidFill>
    <a:ln w="12700" cap="flat">
      <a:solidFill>
        <a:srgbClr val="000000"/>
      </a:solidFill>
      <a:prstDash val="solid"/>
      <a:round/>
    </a:ln>
    <a:effectLst/>
  </c:spPr>
</c:chartSpace>
</file>

<file path=xl/charts/chart16.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800" u="none">
                <a:solidFill>
                  <a:srgbClr val="595959"/>
                </a:solidFill>
                <a:latin typeface="HG丸ｺﾞｼｯｸM-PRO"/>
              </a:defRPr>
            </a:pPr>
            <a:r>
              <a:rPr b="0" i="0" strike="noStrike" sz="1800" u="none">
                <a:solidFill>
                  <a:srgbClr val="595959"/>
                </a:solidFill>
                <a:latin typeface="HG丸ｺﾞｼｯｸM-PRO"/>
              </a:rPr>
              <a:t>小学生数の推移グラフ</a:t>
            </a:r>
          </a:p>
        </c:rich>
      </c:tx>
      <c:layout>
        <c:manualLayout>
          <c:xMode val="edge"/>
          <c:yMode val="edge"/>
          <c:x val="0.387799"/>
          <c:y val="0"/>
          <c:w val="0.224402"/>
          <c:h val="0.142229"/>
        </c:manualLayout>
      </c:layout>
      <c:overlay val="1"/>
      <c:spPr>
        <a:noFill/>
        <a:effectLst/>
      </c:spPr>
    </c:title>
    <c:autoTitleDeleted val="1"/>
    <c:plotArea>
      <c:layout>
        <c:manualLayout>
          <c:layoutTarget val="inner"/>
          <c:xMode val="edge"/>
          <c:yMode val="edge"/>
          <c:x val="0.0695452"/>
          <c:y val="0.142229"/>
          <c:w val="0.925455"/>
          <c:h val="0.763046"/>
        </c:manualLayout>
      </c:layout>
      <c:barChart>
        <c:barDir val="col"/>
        <c:grouping val="clustered"/>
        <c:varyColors val="0"/>
        <c:ser>
          <c:idx val="0"/>
          <c:order val="0"/>
          <c:tx>
            <c:v>これまでの傾向が続いた場合</c:v>
          </c:tx>
          <c:spPr>
            <a:solidFill>
              <a:srgbClr val="DAE3F3"/>
            </a:solidFill>
            <a:ln w="9525" cap="flat">
              <a:solidFill>
                <a:srgbClr val="0070C0"/>
              </a:solidFill>
              <a:prstDash val="solid"/>
              <a:round/>
            </a:ln>
            <a:effectLst/>
          </c:spPr>
          <c:invertIfNegative val="0"/>
          <c:dLbls>
            <c:numFmt formatCode="#,##0" sourceLinked="1"/>
            <c:txPr>
              <a:bodyPr/>
              <a:lstStyle/>
              <a:p>
                <a:pPr>
                  <a:defRPr b="0" i="0" strike="noStrike" sz="12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7"/>
              <c:pt idx="0">
                <c:v>122.000000</c:v>
              </c:pt>
              <c:pt idx="1">
                <c:v>125.000000</c:v>
              </c:pt>
              <c:pt idx="2">
                <c:v>96.000000</c:v>
              </c:pt>
              <c:pt idx="3">
                <c:v>73.000000</c:v>
              </c:pt>
              <c:pt idx="4">
                <c:v>54.000000</c:v>
              </c:pt>
              <c:pt idx="5">
                <c:v>41.000000</c:v>
              </c:pt>
              <c:pt idx="6">
                <c:v>32.000000</c:v>
              </c:pt>
            </c:numLit>
          </c:val>
        </c:ser>
        <c:ser>
          <c:idx val="1"/>
          <c:order val="1"/>
          <c:tx>
            <c:v>移住受入を進めた場合</c:v>
          </c:tx>
          <c:spPr>
            <a:blipFill rotWithShape="1">
              <a:blip r:embed="rId1"/>
              <a:srcRect l="0" t="0" r="0" b="0"/>
              <a:tile tx="0" ty="0" sx="100000" sy="100000" flip="none" algn="tl"/>
            </a:blipFill>
            <a:ln w="9525" cap="flat">
              <a:solidFill>
                <a:srgbClr val="FF0000"/>
              </a:solidFill>
              <a:prstDash val="solid"/>
              <a:round/>
            </a:ln>
            <a:effectLst/>
          </c:spPr>
          <c:invertIfNegative val="0"/>
          <c:dLbls>
            <c:numFmt formatCode="#,##0" sourceLinked="1"/>
            <c:txPr>
              <a:bodyPr/>
              <a:lstStyle/>
              <a:p>
                <a:pPr>
                  <a:defRPr b="0" i="0" strike="noStrike" sz="1200" u="none">
                    <a:solidFill>
                      <a:srgbClr val="FF0000"/>
                    </a:solidFill>
                    <a:latin typeface="HG丸ｺﾞｼｯｸM-PRO"/>
                  </a:defRPr>
                </a:pPr>
              </a:p>
            </c:txPr>
            <c:dLblPos val="outEnd"/>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4"/>
              <c:pt idx="3">
                <c:v>74.000000</c:v>
              </c:pt>
              <c:pt idx="4">
                <c:v>57.000000</c:v>
              </c:pt>
              <c:pt idx="5">
                <c:v>45.000000</c:v>
              </c:pt>
              <c:pt idx="6">
                <c:v>37.000000</c:v>
              </c:pt>
            </c:numLit>
          </c:val>
        </c:ser>
        <c:gapWidth val="219"/>
        <c:overlap val="-27"/>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in val="0"/>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200" u="none">
                <a:solidFill>
                  <a:srgbClr val="595959"/>
                </a:solidFill>
                <a:latin typeface="HG丸ｺﾞｼｯｸM-PRO"/>
              </a:defRPr>
            </a:pPr>
          </a:p>
        </c:txPr>
        <c:crossAx val="2094734552"/>
        <c:crosses val="autoZero"/>
        <c:crossBetween val="between"/>
        <c:majorUnit val="32.5"/>
        <c:minorUnit val="16.25"/>
      </c:valAx>
      <c:spPr>
        <a:noFill/>
        <a:ln w="12700" cap="flat">
          <a:noFill/>
          <a:miter lim="400000"/>
        </a:ln>
        <a:effectLst/>
      </c:spPr>
    </c:plotArea>
    <c:legend>
      <c:legendPos val="t"/>
      <c:layout>
        <c:manualLayout>
          <c:xMode val="edge"/>
          <c:yMode val="edge"/>
          <c:x val="0.0375224"/>
          <c:y val="0.0880958"/>
          <c:w val="0.953768"/>
          <c:h val="0.0783357"/>
        </c:manualLayout>
      </c:layout>
      <c:overlay val="1"/>
      <c:spPr>
        <a:noFill/>
        <a:ln w="12700" cap="flat">
          <a:noFill/>
          <a:miter lim="400000"/>
        </a:ln>
        <a:effectLst/>
      </c:spPr>
      <c:txPr>
        <a:bodyPr rot="0"/>
        <a:lstStyle/>
        <a:p>
          <a:pPr>
            <a:defRPr b="0" i="0" strike="noStrike" sz="1200" u="none">
              <a:solidFill>
                <a:srgbClr val="595959"/>
              </a:solidFill>
              <a:latin typeface="HG丸ｺﾞｼｯｸM-PRO"/>
            </a:defRPr>
          </a:pPr>
        </a:p>
      </c:txPr>
    </c:legend>
    <c:plotVisOnly val="1"/>
    <c:dispBlanksAs val="gap"/>
  </c:chart>
  <c:spPr>
    <a:solidFill>
      <a:srgbClr val="FFFFFF"/>
    </a:solidFill>
    <a:ln w="12700" cap="flat">
      <a:solidFill>
        <a:srgbClr val="000000"/>
      </a:solidFill>
      <a:prstDash val="solid"/>
      <a:round/>
    </a:ln>
    <a:effectLst/>
  </c:spPr>
</c:chartSpace>
</file>

<file path=xl/charts/chart17.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800" u="none">
                <a:solidFill>
                  <a:srgbClr val="595959"/>
                </a:solidFill>
                <a:latin typeface="HG丸ｺﾞｼｯｸM-PRO"/>
              </a:defRPr>
            </a:pPr>
            <a:r>
              <a:rPr b="0" i="0" strike="noStrike" sz="1800" u="none">
                <a:solidFill>
                  <a:srgbClr val="595959"/>
                </a:solidFill>
                <a:latin typeface="HG丸ｺﾞｼｯｸM-PRO"/>
              </a:rPr>
              <a:t>６５歳以上の割合の推移グラフ</a:t>
            </a:r>
          </a:p>
        </c:rich>
      </c:tx>
      <c:layout>
        <c:manualLayout>
          <c:xMode val="edge"/>
          <c:yMode val="edge"/>
          <c:x val="0.345369"/>
          <c:y val="0"/>
          <c:w val="0.309261"/>
          <c:h val="0.15749"/>
        </c:manualLayout>
      </c:layout>
      <c:overlay val="1"/>
      <c:spPr>
        <a:noFill/>
        <a:effectLst/>
      </c:spPr>
    </c:title>
    <c:autoTitleDeleted val="1"/>
    <c:plotArea>
      <c:layout>
        <c:manualLayout>
          <c:layoutTarget val="inner"/>
          <c:xMode val="edge"/>
          <c:yMode val="edge"/>
          <c:x val="0.0555372"/>
          <c:y val="0.15749"/>
          <c:w val="0.939463"/>
          <c:h val="0.738961"/>
        </c:manualLayout>
      </c:layout>
      <c:barChart>
        <c:barDir val="col"/>
        <c:grouping val="clustered"/>
        <c:varyColors val="0"/>
        <c:ser>
          <c:idx val="0"/>
          <c:order val="0"/>
          <c:tx>
            <c:v>これまでの傾向が続いた場合</c:v>
          </c:tx>
          <c:spPr>
            <a:solidFill>
              <a:srgbClr val="DAE3F3"/>
            </a:solidFill>
            <a:ln w="9525" cap="flat">
              <a:solidFill>
                <a:srgbClr val="0070C0"/>
              </a:solidFill>
              <a:prstDash val="solid"/>
              <a:round/>
            </a:ln>
            <a:effectLst/>
          </c:spPr>
          <c:invertIfNegative val="0"/>
          <c:dLbls>
            <c:numFmt formatCode="0%" sourceLinked="0"/>
            <c:txPr>
              <a:bodyPr/>
              <a:lstStyle/>
              <a:p>
                <a:pPr>
                  <a:defRPr b="0" i="0" strike="noStrike" sz="12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7"/>
              <c:pt idx="0">
                <c:v>0.390000</c:v>
              </c:pt>
              <c:pt idx="1">
                <c:v>0.440000</c:v>
              </c:pt>
              <c:pt idx="2">
                <c:v>0.500000</c:v>
              </c:pt>
              <c:pt idx="3">
                <c:v>0.540000</c:v>
              </c:pt>
              <c:pt idx="4">
                <c:v>0.560000</c:v>
              </c:pt>
              <c:pt idx="5">
                <c:v>0.560000</c:v>
              </c:pt>
              <c:pt idx="6">
                <c:v>0.560000</c:v>
              </c:pt>
            </c:numLit>
          </c:val>
        </c:ser>
        <c:ser>
          <c:idx val="1"/>
          <c:order val="1"/>
          <c:tx>
            <c:v>移住受入を進めた場合</c:v>
          </c:tx>
          <c:spPr>
            <a:blipFill rotWithShape="1">
              <a:blip r:embed="rId1"/>
              <a:srcRect l="0" t="0" r="0" b="0"/>
              <a:tile tx="0" ty="0" sx="100000" sy="100000" flip="none" algn="tl"/>
            </a:blipFill>
            <a:ln w="9525" cap="flat">
              <a:solidFill>
                <a:srgbClr val="FF0000"/>
              </a:solidFill>
              <a:prstDash val="solid"/>
              <a:round/>
            </a:ln>
            <a:effectLst/>
          </c:spPr>
          <c:invertIfNegative val="0"/>
          <c:dLbls>
            <c:numFmt formatCode="0%" sourceLinked="0"/>
            <c:txPr>
              <a:bodyPr/>
              <a:lstStyle/>
              <a:p>
                <a:pPr>
                  <a:defRPr b="0" i="0" strike="noStrike" sz="1200" u="none">
                    <a:solidFill>
                      <a:srgbClr val="FF0000"/>
                    </a:solidFill>
                    <a:latin typeface="HG丸ｺﾞｼｯｸM-PRO"/>
                  </a:defRPr>
                </a:pPr>
              </a:p>
            </c:txPr>
            <c:dLblPos val="outEnd"/>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4"/>
              <c:pt idx="3">
                <c:v>0.540000</c:v>
              </c:pt>
              <c:pt idx="4">
                <c:v>0.550000</c:v>
              </c:pt>
              <c:pt idx="5">
                <c:v>0.550000</c:v>
              </c:pt>
              <c:pt idx="6">
                <c:v>0.540000</c:v>
              </c:pt>
            </c:numLit>
          </c:val>
        </c:ser>
        <c:gapWidth val="219"/>
        <c:overlap val="-27"/>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ax val="1"/>
          <c:min val="0"/>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200" u="none">
                <a:solidFill>
                  <a:srgbClr val="595959"/>
                </a:solidFill>
                <a:latin typeface="HG丸ｺﾞｼｯｸM-PRO"/>
              </a:defRPr>
            </a:pPr>
          </a:p>
        </c:txPr>
        <c:crossAx val="2094734552"/>
        <c:crosses val="autoZero"/>
        <c:crossBetween val="between"/>
        <c:majorUnit val="0.2"/>
        <c:minorUnit val="0.1"/>
      </c:valAx>
      <c:spPr>
        <a:noFill/>
        <a:ln w="12700" cap="flat">
          <a:noFill/>
          <a:miter lim="400000"/>
        </a:ln>
        <a:effectLst/>
      </c:spPr>
    </c:plotArea>
    <c:legend>
      <c:legendPos val="t"/>
      <c:layout>
        <c:manualLayout>
          <c:xMode val="edge"/>
          <c:yMode val="edge"/>
          <c:x val="0.179219"/>
          <c:y val="0.0725109"/>
          <c:w val="0.653448"/>
          <c:h val="0.0840587"/>
        </c:manualLayout>
      </c:layout>
      <c:overlay val="1"/>
      <c:spPr>
        <a:noFill/>
        <a:ln w="12700" cap="flat">
          <a:noFill/>
          <a:miter lim="400000"/>
        </a:ln>
        <a:effectLst/>
      </c:spPr>
      <c:txPr>
        <a:bodyPr rot="0"/>
        <a:lstStyle/>
        <a:p>
          <a:pPr>
            <a:defRPr b="0" i="0" strike="noStrike" sz="1200" u="none">
              <a:solidFill>
                <a:srgbClr val="595959"/>
              </a:solidFill>
              <a:latin typeface="HG丸ｺﾞｼｯｸM-PRO"/>
            </a:defRPr>
          </a:pPr>
        </a:p>
      </c:txPr>
    </c:legend>
    <c:plotVisOnly val="1"/>
    <c:dispBlanksAs val="gap"/>
  </c:chart>
  <c:spPr>
    <a:solidFill>
      <a:srgbClr val="FFFFFF"/>
    </a:solidFill>
    <a:ln w="12700" cap="flat">
      <a:solidFill>
        <a:srgbClr val="000000"/>
      </a:solidFill>
      <a:prstDash val="solid"/>
      <a:round/>
    </a:ln>
    <a:effectLst/>
  </c:spPr>
</c:chartSpace>
</file>

<file path=xl/charts/chart18.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800" u="none">
                <a:solidFill>
                  <a:srgbClr val="595959"/>
                </a:solidFill>
                <a:latin typeface="HG丸ｺﾞｼｯｸM-PRO"/>
              </a:defRPr>
            </a:pPr>
            <a:r>
              <a:rPr b="0" i="0" strike="noStrike" sz="1800" u="none">
                <a:solidFill>
                  <a:srgbClr val="595959"/>
                </a:solidFill>
                <a:latin typeface="HG丸ｺﾞｼｯｸM-PRO"/>
              </a:rPr>
              <a:t>７５歳以上の割合の推移グラフ</a:t>
            </a:r>
          </a:p>
        </c:rich>
      </c:tx>
      <c:layout>
        <c:manualLayout>
          <c:xMode val="edge"/>
          <c:yMode val="edge"/>
          <c:x val="0.345369"/>
          <c:y val="0"/>
          <c:w val="0.309261"/>
          <c:h val="0.15749"/>
        </c:manualLayout>
      </c:layout>
      <c:overlay val="1"/>
      <c:spPr>
        <a:noFill/>
        <a:effectLst/>
      </c:spPr>
    </c:title>
    <c:autoTitleDeleted val="1"/>
    <c:plotArea>
      <c:layout>
        <c:manualLayout>
          <c:layoutTarget val="inner"/>
          <c:xMode val="edge"/>
          <c:yMode val="edge"/>
          <c:x val="0.0555372"/>
          <c:y val="0.15749"/>
          <c:w val="0.939463"/>
          <c:h val="0.738961"/>
        </c:manualLayout>
      </c:layout>
      <c:barChart>
        <c:barDir val="col"/>
        <c:grouping val="clustered"/>
        <c:varyColors val="0"/>
        <c:ser>
          <c:idx val="0"/>
          <c:order val="0"/>
          <c:tx>
            <c:v>これまでの傾向が続いた場合</c:v>
          </c:tx>
          <c:spPr>
            <a:solidFill>
              <a:srgbClr val="DAE3F3"/>
            </a:solidFill>
            <a:ln w="9525" cap="flat">
              <a:solidFill>
                <a:srgbClr val="0070C0"/>
              </a:solidFill>
              <a:prstDash val="solid"/>
              <a:round/>
            </a:ln>
            <a:effectLst/>
          </c:spPr>
          <c:invertIfNegative val="0"/>
          <c:dLbls>
            <c:numFmt formatCode="0%" sourceLinked="0"/>
            <c:txPr>
              <a:bodyPr/>
              <a:lstStyle/>
              <a:p>
                <a:pPr>
                  <a:defRPr b="0" i="0" strike="noStrike" sz="12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7"/>
              <c:pt idx="0">
                <c:v>0.220000</c:v>
              </c:pt>
              <c:pt idx="1">
                <c:v>0.250000</c:v>
              </c:pt>
              <c:pt idx="2">
                <c:v>0.280000</c:v>
              </c:pt>
              <c:pt idx="3">
                <c:v>0.320000</c:v>
              </c:pt>
              <c:pt idx="4">
                <c:v>0.360000</c:v>
              </c:pt>
              <c:pt idx="5">
                <c:v>0.390000</c:v>
              </c:pt>
              <c:pt idx="6">
                <c:v>0.390000</c:v>
              </c:pt>
            </c:numLit>
          </c:val>
        </c:ser>
        <c:ser>
          <c:idx val="1"/>
          <c:order val="1"/>
          <c:tx>
            <c:v>移住受入を進めた場合</c:v>
          </c:tx>
          <c:spPr>
            <a:blipFill rotWithShape="1">
              <a:blip r:embed="rId1"/>
              <a:srcRect l="0" t="0" r="0" b="0"/>
              <a:tile tx="0" ty="0" sx="100000" sy="100000" flip="none" algn="tl"/>
            </a:blipFill>
            <a:ln w="9525" cap="flat">
              <a:solidFill>
                <a:srgbClr val="FF0000"/>
              </a:solidFill>
              <a:prstDash val="solid"/>
              <a:round/>
            </a:ln>
            <a:effectLst/>
          </c:spPr>
          <c:invertIfNegative val="0"/>
          <c:dLbls>
            <c:numFmt formatCode="0%" sourceLinked="0"/>
            <c:txPr>
              <a:bodyPr/>
              <a:lstStyle/>
              <a:p>
                <a:pPr>
                  <a:defRPr b="0" i="0" strike="noStrike" sz="1200" u="none">
                    <a:solidFill>
                      <a:srgbClr val="FF0000"/>
                    </a:solidFill>
                    <a:latin typeface="HG丸ｺﾞｼｯｸM-PRO"/>
                  </a:defRPr>
                </a:pPr>
              </a:p>
            </c:txPr>
            <c:dLblPos val="outEnd"/>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4"/>
              <c:pt idx="3">
                <c:v>0.320000</c:v>
              </c:pt>
              <c:pt idx="4">
                <c:v>0.350000</c:v>
              </c:pt>
              <c:pt idx="5">
                <c:v>0.390000</c:v>
              </c:pt>
              <c:pt idx="6">
                <c:v>0.380000</c:v>
              </c:pt>
            </c:numLit>
          </c:val>
        </c:ser>
        <c:gapWidth val="219"/>
        <c:overlap val="-27"/>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ax val="1"/>
          <c:min val="0"/>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200" u="none">
                <a:solidFill>
                  <a:srgbClr val="595959"/>
                </a:solidFill>
                <a:latin typeface="HG丸ｺﾞｼｯｸM-PRO"/>
              </a:defRPr>
            </a:pPr>
          </a:p>
        </c:txPr>
        <c:crossAx val="2094734552"/>
        <c:crosses val="autoZero"/>
        <c:crossBetween val="between"/>
        <c:majorUnit val="0.2"/>
        <c:minorUnit val="0.1"/>
      </c:valAx>
      <c:spPr>
        <a:noFill/>
        <a:ln w="12700" cap="flat">
          <a:noFill/>
          <a:miter lim="400000"/>
        </a:ln>
        <a:effectLst/>
      </c:spPr>
    </c:plotArea>
    <c:legend>
      <c:legendPos val="t"/>
      <c:layout>
        <c:manualLayout>
          <c:xMode val="edge"/>
          <c:yMode val="edge"/>
          <c:x val="0.179219"/>
          <c:y val="0.0725109"/>
          <c:w val="0.653448"/>
          <c:h val="0.0840587"/>
        </c:manualLayout>
      </c:layout>
      <c:overlay val="1"/>
      <c:spPr>
        <a:noFill/>
        <a:ln w="12700" cap="flat">
          <a:noFill/>
          <a:miter lim="400000"/>
        </a:ln>
        <a:effectLst/>
      </c:spPr>
      <c:txPr>
        <a:bodyPr rot="0"/>
        <a:lstStyle/>
        <a:p>
          <a:pPr>
            <a:defRPr b="0" i="0" strike="noStrike" sz="1200" u="none">
              <a:solidFill>
                <a:srgbClr val="595959"/>
              </a:solidFill>
              <a:latin typeface="HG丸ｺﾞｼｯｸM-PRO"/>
            </a:defRPr>
          </a:pPr>
        </a:p>
      </c:txPr>
    </c:legend>
    <c:plotVisOnly val="1"/>
    <c:dispBlanksAs val="gap"/>
  </c:chart>
  <c:spPr>
    <a:solidFill>
      <a:srgbClr val="FFFFFF"/>
    </a:solidFill>
    <a:ln w="12700" cap="flat">
      <a:solidFill>
        <a:srgbClr val="000000"/>
      </a:solidFill>
      <a:prstDash val="solid"/>
      <a:round/>
    </a:ln>
    <a:effectLst/>
  </c:spPr>
</c:chartSpace>
</file>

<file path=xl/charts/chart19.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800" u="none">
                <a:solidFill>
                  <a:srgbClr val="595959"/>
                </a:solidFill>
                <a:latin typeface="HG丸ｺﾞｼｯｸM-PRO"/>
              </a:defRPr>
            </a:pPr>
            <a:r>
              <a:rPr b="0" i="0" strike="noStrike" sz="1800" u="none">
                <a:solidFill>
                  <a:srgbClr val="595959"/>
                </a:solidFill>
                <a:latin typeface="HG丸ｺﾞｼｯｸM-PRO"/>
              </a:rPr>
              <a:t>中学生数の推移グラフ</a:t>
            </a:r>
          </a:p>
        </c:rich>
      </c:tx>
      <c:layout>
        <c:manualLayout>
          <c:xMode val="edge"/>
          <c:yMode val="edge"/>
          <c:x val="0.387058"/>
          <c:y val="0"/>
          <c:w val="0.225884"/>
          <c:h val="0.143228"/>
        </c:manualLayout>
      </c:layout>
      <c:overlay val="1"/>
      <c:spPr>
        <a:noFill/>
        <a:effectLst/>
      </c:spPr>
    </c:title>
    <c:autoTitleDeleted val="1"/>
    <c:plotArea>
      <c:layout>
        <c:manualLayout>
          <c:layoutTarget val="inner"/>
          <c:xMode val="edge"/>
          <c:yMode val="edge"/>
          <c:x val="0.0501887"/>
          <c:y val="0.143228"/>
          <c:w val="0.944811"/>
          <c:h val="0.761468"/>
        </c:manualLayout>
      </c:layout>
      <c:barChart>
        <c:barDir val="col"/>
        <c:grouping val="clustered"/>
        <c:varyColors val="0"/>
        <c:ser>
          <c:idx val="0"/>
          <c:order val="0"/>
          <c:tx>
            <c:v>これまでの傾向が続いた場合</c:v>
          </c:tx>
          <c:spPr>
            <a:solidFill>
              <a:srgbClr val="DAE3F3"/>
            </a:solidFill>
            <a:ln w="9525" cap="flat">
              <a:solidFill>
                <a:srgbClr val="0070C0"/>
              </a:solidFill>
              <a:prstDash val="solid"/>
              <a:round/>
            </a:ln>
            <a:effectLst/>
          </c:spPr>
          <c:invertIfNegative val="0"/>
          <c:dLbls>
            <c:numFmt formatCode="#,##0" sourceLinked="1"/>
            <c:txPr>
              <a:bodyPr/>
              <a:lstStyle/>
              <a:p>
                <a:pPr>
                  <a:defRPr b="0" i="0" strike="noStrike" sz="12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7"/>
              <c:pt idx="0">
                <c:v>76.000000</c:v>
              </c:pt>
              <c:pt idx="1">
                <c:v>61.000000</c:v>
              </c:pt>
              <c:pt idx="2">
                <c:v>51.000000</c:v>
              </c:pt>
              <c:pt idx="3">
                <c:v>43.000000</c:v>
              </c:pt>
              <c:pt idx="4">
                <c:v>32.000000</c:v>
              </c:pt>
              <c:pt idx="5">
                <c:v>24.000000</c:v>
              </c:pt>
              <c:pt idx="6">
                <c:v>18.000000</c:v>
              </c:pt>
            </c:numLit>
          </c:val>
        </c:ser>
        <c:ser>
          <c:idx val="1"/>
          <c:order val="1"/>
          <c:tx>
            <c:v>移住受入を進めた場合</c:v>
          </c:tx>
          <c:spPr>
            <a:blipFill rotWithShape="1">
              <a:blip r:embed="rId1"/>
              <a:srcRect l="0" t="0" r="0" b="0"/>
              <a:tile tx="0" ty="0" sx="100000" sy="100000" flip="none" algn="tl"/>
            </a:blipFill>
            <a:ln w="9525" cap="flat">
              <a:solidFill>
                <a:srgbClr val="FF0000"/>
              </a:solidFill>
              <a:prstDash val="solid"/>
              <a:round/>
            </a:ln>
            <a:effectLst/>
          </c:spPr>
          <c:invertIfNegative val="0"/>
          <c:dLbls>
            <c:numFmt formatCode="#,##0" sourceLinked="1"/>
            <c:txPr>
              <a:bodyPr/>
              <a:lstStyle/>
              <a:p>
                <a:pPr>
                  <a:defRPr b="0" i="0" strike="noStrike" sz="1200" u="none">
                    <a:solidFill>
                      <a:srgbClr val="FF0000"/>
                    </a:solidFill>
                    <a:latin typeface="HG丸ｺﾞｼｯｸM-PRO"/>
                  </a:defRPr>
                </a:pPr>
              </a:p>
            </c:txPr>
            <c:dLblPos val="outEnd"/>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4"/>
              <c:pt idx="3">
                <c:v>43.000000</c:v>
              </c:pt>
              <c:pt idx="4">
                <c:v>33.000000</c:v>
              </c:pt>
              <c:pt idx="5">
                <c:v>26.000000</c:v>
              </c:pt>
              <c:pt idx="6">
                <c:v>21.000000</c:v>
              </c:pt>
            </c:numLit>
          </c:val>
        </c:ser>
        <c:gapWidth val="219"/>
        <c:overlap val="-27"/>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in val="0"/>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200" u="none">
                <a:solidFill>
                  <a:srgbClr val="595959"/>
                </a:solidFill>
                <a:latin typeface="HG丸ｺﾞｼｯｸM-PRO"/>
              </a:defRPr>
            </a:pPr>
          </a:p>
        </c:txPr>
        <c:crossAx val="2094734552"/>
        <c:crosses val="autoZero"/>
        <c:crossBetween val="between"/>
        <c:majorUnit val="20"/>
        <c:minorUnit val="10"/>
      </c:valAx>
      <c:spPr>
        <a:noFill/>
        <a:ln w="12700" cap="flat">
          <a:noFill/>
          <a:miter lim="400000"/>
        </a:ln>
        <a:effectLst/>
      </c:spPr>
    </c:plotArea>
    <c:legend>
      <c:legendPos val="t"/>
      <c:layout>
        <c:manualLayout>
          <c:xMode val="edge"/>
          <c:yMode val="edge"/>
          <c:x val="0.0826898"/>
          <c:y val="0.087022"/>
          <c:w val="0.832382"/>
          <c:h val="0.0787104"/>
        </c:manualLayout>
      </c:layout>
      <c:overlay val="1"/>
      <c:spPr>
        <a:noFill/>
        <a:ln w="12700" cap="flat">
          <a:noFill/>
          <a:miter lim="400000"/>
        </a:ln>
        <a:effectLst/>
      </c:spPr>
      <c:txPr>
        <a:bodyPr rot="0"/>
        <a:lstStyle/>
        <a:p>
          <a:pPr>
            <a:defRPr b="0" i="0" strike="noStrike" sz="1200" u="none">
              <a:solidFill>
                <a:srgbClr val="595959"/>
              </a:solidFill>
              <a:latin typeface="HG丸ｺﾞｼｯｸM-PRO"/>
            </a:defRPr>
          </a:pPr>
        </a:p>
      </c:txPr>
    </c:legend>
    <c:plotVisOnly val="1"/>
    <c:dispBlanksAs val="gap"/>
  </c:chart>
  <c:spPr>
    <a:solidFill>
      <a:srgbClr val="FFFFFF"/>
    </a:solidFill>
    <a:ln w="12700" cap="flat">
      <a:solidFill>
        <a:srgbClr val="000000"/>
      </a:solidFill>
      <a:prstDash val="solid"/>
      <a:round/>
    </a:ln>
    <a:effectLst/>
  </c:spPr>
</c:chartSpace>
</file>

<file path=xl/charts/chart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800" u="none">
                <a:solidFill>
                  <a:srgbClr val="595959"/>
                </a:solidFill>
                <a:latin typeface="HG丸ｺﾞｼｯｸM-PRO"/>
              </a:defRPr>
            </a:pPr>
            <a:r>
              <a:rPr b="0" i="0" strike="noStrike" sz="1800" u="none">
                <a:solidFill>
                  <a:srgbClr val="595959"/>
                </a:solidFill>
                <a:latin typeface="HG丸ｺﾞｼｯｸM-PRO"/>
              </a:rPr>
              <a:t>中学生数の推移グラフ</a:t>
            </a:r>
          </a:p>
        </c:rich>
      </c:tx>
      <c:layout>
        <c:manualLayout>
          <c:xMode val="edge"/>
          <c:yMode val="edge"/>
          <c:x val="0.393882"/>
          <c:y val="0"/>
          <c:w val="0.212236"/>
          <c:h val="0.163218"/>
        </c:manualLayout>
      </c:layout>
      <c:overlay val="1"/>
      <c:spPr>
        <a:noFill/>
        <a:effectLst/>
      </c:spPr>
    </c:title>
    <c:autoTitleDeleted val="1"/>
    <c:plotArea>
      <c:layout>
        <c:manualLayout>
          <c:layoutTarget val="inner"/>
          <c:xMode val="edge"/>
          <c:yMode val="edge"/>
          <c:x val="0.0471562"/>
          <c:y val="0.163218"/>
          <c:w val="0.947844"/>
          <c:h val="0.729922"/>
        </c:manualLayout>
      </c:layout>
      <c:barChart>
        <c:barDir val="col"/>
        <c:grouping val="clustered"/>
        <c:varyColors val="0"/>
        <c:ser>
          <c:idx val="0"/>
          <c:order val="0"/>
          <c:tx>
            <c:v>Series1</c:v>
          </c:tx>
          <c:spPr>
            <a:solidFill>
              <a:srgbClr val="0070C0"/>
            </a:solidFill>
            <a:ln w="9525" cap="flat">
              <a:solidFill>
                <a:srgbClr val="0070C0"/>
              </a:solidFill>
              <a:prstDash val="solid"/>
              <a:round/>
            </a:ln>
            <a:effectLst/>
          </c:spPr>
          <c:invertIfNegative val="0"/>
          <c:dLbls>
            <c:numFmt formatCode="#,##0" sourceLinked="1"/>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3"/>
              <c:pt idx="0">
                <c:v>2010</c:v>
              </c:pt>
              <c:pt idx="1">
                <c:v>2015</c:v>
              </c:pt>
              <c:pt idx="2">
                <c:v>2020</c:v>
              </c:pt>
            </c:strLit>
          </c:cat>
          <c:val>
            <c:numLit>
              <c:ptCount val="3"/>
              <c:pt idx="0">
                <c:v>76.000000</c:v>
              </c:pt>
              <c:pt idx="1">
                <c:v>61.000000</c:v>
              </c:pt>
              <c:pt idx="2">
                <c:v>51.000000</c:v>
              </c:pt>
            </c:numLit>
          </c:val>
        </c:ser>
        <c:gapWidth val="219"/>
        <c:overlap val="-27"/>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in val="0"/>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200" u="none">
                <a:solidFill>
                  <a:srgbClr val="595959"/>
                </a:solidFill>
                <a:latin typeface="HG丸ｺﾞｼｯｸM-PRO"/>
              </a:defRPr>
            </a:pPr>
          </a:p>
        </c:txPr>
        <c:crossAx val="2094734552"/>
        <c:crosses val="autoZero"/>
        <c:crossBetween val="between"/>
        <c:majorUnit val="20"/>
        <c:minorUnit val="10"/>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20.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600" u="none">
                <a:solidFill>
                  <a:srgbClr val="595959"/>
                </a:solidFill>
                <a:latin typeface="HG丸ｺﾞｼｯｸM-PRO"/>
              </a:defRPr>
            </a:pPr>
            <a:r>
              <a:rPr b="0" i="0" strike="noStrike" sz="1600" u="none">
                <a:solidFill>
                  <a:srgbClr val="595959"/>
                </a:solidFill>
                <a:latin typeface="HG丸ｺﾞｼｯｸM-PRO"/>
              </a:rPr>
              <a:t>人口ピラミッド（移住受入を進めた場合）</a:t>
            </a:r>
          </a:p>
        </c:rich>
      </c:tx>
      <c:layout>
        <c:manualLayout>
          <c:xMode val="edge"/>
          <c:yMode val="edge"/>
          <c:x val="0.321334"/>
          <c:y val="0"/>
          <c:w val="0.357331"/>
          <c:h val="0.0543123"/>
        </c:manualLayout>
      </c:layout>
      <c:overlay val="1"/>
      <c:spPr>
        <a:noFill/>
        <a:effectLst/>
      </c:spPr>
    </c:title>
    <c:autoTitleDeleted val="1"/>
    <c:plotArea>
      <c:layout>
        <c:manualLayout>
          <c:layoutTarget val="inner"/>
          <c:xMode val="edge"/>
          <c:yMode val="edge"/>
          <c:x val="0.127081"/>
          <c:y val="0.0543123"/>
          <c:w val="0.854973"/>
          <c:h val="0.902286"/>
        </c:manualLayout>
      </c:layout>
      <c:barChart>
        <c:barDir val="bar"/>
        <c:grouping val="clustered"/>
        <c:varyColors val="0"/>
        <c:ser>
          <c:idx val="0"/>
          <c:order val="0"/>
          <c:tx>
            <c:v>男性</c:v>
          </c:tx>
          <c:spPr>
            <a:solidFill>
              <a:srgbClr val="99FF99"/>
            </a:solidFill>
            <a:ln w="9525" cap="flat">
              <a:solidFill>
                <a:srgbClr val="000000"/>
              </a:solidFill>
              <a:prstDash val="solid"/>
              <a:round/>
            </a:ln>
            <a:effectLst/>
          </c:spPr>
          <c:invertIfNegative val="0"/>
          <c:dLbls>
            <c:numFmt formatCode="#,##0" sourceLinked="1"/>
            <c:txPr>
              <a:bodyPr/>
              <a:lstStyle/>
              <a:p>
                <a:pPr>
                  <a:defRPr b="0" i="0" strike="noStrike" sz="10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Lit>
          </c:cat>
          <c:val>
            <c:numLit>
              <c:ptCount val="21"/>
              <c:pt idx="0">
                <c:v>0.000000</c:v>
              </c:pt>
              <c:pt idx="1">
                <c:v>6.000000</c:v>
              </c:pt>
              <c:pt idx="2">
                <c:v>30.000000</c:v>
              </c:pt>
              <c:pt idx="3">
                <c:v>59.000000</c:v>
              </c:pt>
              <c:pt idx="4">
                <c:v>116.000000</c:v>
              </c:pt>
              <c:pt idx="5">
                <c:v>116.000000</c:v>
              </c:pt>
              <c:pt idx="6">
                <c:v>137.000000</c:v>
              </c:pt>
              <c:pt idx="7">
                <c:v>76.000000</c:v>
              </c:pt>
              <c:pt idx="8">
                <c:v>61.000000</c:v>
              </c:pt>
              <c:pt idx="9">
                <c:v>66.000000</c:v>
              </c:pt>
              <c:pt idx="10">
                <c:v>73.000000</c:v>
              </c:pt>
              <c:pt idx="11">
                <c:v>49.000000</c:v>
              </c:pt>
              <c:pt idx="12">
                <c:v>30.000000</c:v>
              </c:pt>
              <c:pt idx="13">
                <c:v>35.000000</c:v>
              </c:pt>
              <c:pt idx="14">
                <c:v>22.000000</c:v>
              </c:pt>
              <c:pt idx="15">
                <c:v>18.000000</c:v>
              </c:pt>
              <c:pt idx="16">
                <c:v>32.000000</c:v>
              </c:pt>
              <c:pt idx="17">
                <c:v>33.000000</c:v>
              </c:pt>
              <c:pt idx="18">
                <c:v>32.000000</c:v>
              </c:pt>
              <c:pt idx="19">
                <c:v>25.000000</c:v>
              </c:pt>
              <c:pt idx="20">
                <c:v>19.000000</c:v>
              </c:pt>
            </c:numLit>
          </c:val>
        </c:ser>
        <c:ser>
          <c:idx val="1"/>
          <c:order val="1"/>
          <c:tx>
            <c:v>女性</c:v>
          </c:tx>
          <c:spPr>
            <a:solidFill>
              <a:srgbClr val="FFCCFF"/>
            </a:solidFill>
            <a:ln w="9525" cap="flat">
              <a:solidFill>
                <a:srgbClr val="000000"/>
              </a:solidFill>
              <a:prstDash val="solid"/>
              <a:round/>
            </a:ln>
            <a:effectLst/>
          </c:spPr>
          <c:invertIfNegative val="0"/>
          <c:dLbls>
            <c:numFmt formatCode="#,##0" sourceLinked="1"/>
            <c:txPr>
              <a:bodyPr/>
              <a:lstStyle/>
              <a:p>
                <a:pPr>
                  <a:defRPr b="0" i="0" strike="noStrike" sz="10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Lit>
          </c:cat>
          <c:val>
            <c:numLit>
              <c:ptCount val="21"/>
              <c:pt idx="0">
                <c:v>1.000000</c:v>
              </c:pt>
              <c:pt idx="1">
                <c:v>13.000000</c:v>
              </c:pt>
              <c:pt idx="2">
                <c:v>53.000000</c:v>
              </c:pt>
              <c:pt idx="3">
                <c:v>87.000000</c:v>
              </c:pt>
              <c:pt idx="4">
                <c:v>136.000000</c:v>
              </c:pt>
              <c:pt idx="5">
                <c:v>138.000000</c:v>
              </c:pt>
              <c:pt idx="6">
                <c:v>123.000000</c:v>
              </c:pt>
              <c:pt idx="7">
                <c:v>97.000000</c:v>
              </c:pt>
              <c:pt idx="8">
                <c:v>71.000000</c:v>
              </c:pt>
              <c:pt idx="9">
                <c:v>49.000000</c:v>
              </c:pt>
              <c:pt idx="10">
                <c:v>70.000000</c:v>
              </c:pt>
              <c:pt idx="11">
                <c:v>45.000000</c:v>
              </c:pt>
              <c:pt idx="12">
                <c:v>45.000000</c:v>
              </c:pt>
              <c:pt idx="13">
                <c:v>30.000000</c:v>
              </c:pt>
              <c:pt idx="14">
                <c:v>24.000000</c:v>
              </c:pt>
              <c:pt idx="15">
                <c:v>26.000000</c:v>
              </c:pt>
              <c:pt idx="16">
                <c:v>22.000000</c:v>
              </c:pt>
              <c:pt idx="17">
                <c:v>27.000000</c:v>
              </c:pt>
              <c:pt idx="18">
                <c:v>20.000000</c:v>
              </c:pt>
              <c:pt idx="19">
                <c:v>17.000000</c:v>
              </c:pt>
              <c:pt idx="20">
                <c:v>15.000000</c:v>
              </c:pt>
            </c:numLit>
          </c:val>
        </c:ser>
        <c:gapWidth val="0"/>
        <c:overlap val="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ax val="300"/>
          <c:min val="-450"/>
        </c:scaling>
        <c:delete val="0"/>
        <c:axPos val="b"/>
        <c:majorGridlines>
          <c:spPr>
            <a:ln w="12700" cap="flat">
              <a:solidFill>
                <a:srgbClr val="D9D9D9"/>
              </a:solidFill>
              <a:prstDash val="solid"/>
              <a:round/>
            </a:ln>
          </c:spPr>
        </c:majorGridlines>
        <c:numFmt formatCode="#,##0;&quot; &quot;" sourceLinked="0"/>
        <c:majorTickMark val="none"/>
        <c:minorTickMark val="none"/>
        <c:tickLblPos val="high"/>
        <c:spPr>
          <a:ln w="12700" cap="flat">
            <a:noFill/>
            <a:prstDash val="solid"/>
            <a:round/>
          </a:ln>
        </c:spPr>
        <c:txPr>
          <a:bodyPr rot="0"/>
          <a:lstStyle/>
          <a:p>
            <a:pPr>
              <a:defRPr b="0" i="0" strike="noStrike" sz="1100" u="none">
                <a:solidFill>
                  <a:srgbClr val="595959"/>
                </a:solidFill>
                <a:latin typeface="HG丸ｺﾞｼｯｸM-PRO"/>
              </a:defRPr>
            </a:pPr>
          </a:p>
        </c:txPr>
        <c:crossAx val="2094734552"/>
        <c:crosses val="min"/>
        <c:crossBetween val="between"/>
        <c:majorUnit val="150"/>
        <c:minorUnit val="75"/>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2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600" u="none">
                <a:solidFill>
                  <a:srgbClr val="595959"/>
                </a:solidFill>
                <a:latin typeface="HG丸ｺﾞｼｯｸM-PRO"/>
              </a:defRPr>
            </a:pPr>
            <a:r>
              <a:rPr b="0" i="0" strike="noStrike" sz="1600" u="none">
                <a:solidFill>
                  <a:srgbClr val="595959"/>
                </a:solidFill>
                <a:latin typeface="HG丸ｺﾞｼｯｸM-PRO"/>
              </a:rPr>
              <a:t>人口ピラミッド（移住受入を進めた場合）</a:t>
            </a:r>
          </a:p>
        </c:rich>
      </c:tx>
      <c:layout>
        <c:manualLayout>
          <c:xMode val="edge"/>
          <c:yMode val="edge"/>
          <c:x val="0.321334"/>
          <c:y val="0"/>
          <c:w val="0.357331"/>
          <c:h val="0.0543123"/>
        </c:manualLayout>
      </c:layout>
      <c:overlay val="1"/>
      <c:spPr>
        <a:noFill/>
        <a:effectLst/>
      </c:spPr>
    </c:title>
    <c:autoTitleDeleted val="1"/>
    <c:plotArea>
      <c:layout>
        <c:manualLayout>
          <c:layoutTarget val="inner"/>
          <c:xMode val="edge"/>
          <c:yMode val="edge"/>
          <c:x val="0.127081"/>
          <c:y val="0.0543123"/>
          <c:w val="0.854973"/>
          <c:h val="0.902286"/>
        </c:manualLayout>
      </c:layout>
      <c:barChart>
        <c:barDir val="bar"/>
        <c:grouping val="clustered"/>
        <c:varyColors val="0"/>
        <c:ser>
          <c:idx val="0"/>
          <c:order val="0"/>
          <c:tx>
            <c:v>男性</c:v>
          </c:tx>
          <c:spPr>
            <a:solidFill>
              <a:srgbClr val="99FF99"/>
            </a:solidFill>
            <a:ln w="9525" cap="flat">
              <a:solidFill>
                <a:srgbClr val="000000"/>
              </a:solidFill>
              <a:prstDash val="solid"/>
              <a:round/>
            </a:ln>
            <a:effectLst/>
          </c:spPr>
          <c:invertIfNegative val="0"/>
          <c:dLbls>
            <c:numFmt formatCode="#,##0" sourceLinked="1"/>
            <c:txPr>
              <a:bodyPr/>
              <a:lstStyle/>
              <a:p>
                <a:pPr>
                  <a:defRPr b="0" i="0" strike="noStrike" sz="10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Lit>
          </c:cat>
          <c:val>
            <c:numLit>
              <c:ptCount val="21"/>
              <c:pt idx="0">
                <c:v>0.000000</c:v>
              </c:pt>
              <c:pt idx="1">
                <c:v>5.000000</c:v>
              </c:pt>
              <c:pt idx="2">
                <c:v>29.000000</c:v>
              </c:pt>
              <c:pt idx="3">
                <c:v>57.000000</c:v>
              </c:pt>
              <c:pt idx="4">
                <c:v>91.000000</c:v>
              </c:pt>
              <c:pt idx="5">
                <c:v>58.000000</c:v>
              </c:pt>
              <c:pt idx="6">
                <c:v>52.000000</c:v>
              </c:pt>
              <c:pt idx="7">
                <c:v>61.000000</c:v>
              </c:pt>
              <c:pt idx="8">
                <c:v>70.000000</c:v>
              </c:pt>
              <c:pt idx="9">
                <c:v>46.000000</c:v>
              </c:pt>
              <c:pt idx="10">
                <c:v>29.000000</c:v>
              </c:pt>
              <c:pt idx="11">
                <c:v>32.000000</c:v>
              </c:pt>
              <c:pt idx="12">
                <c:v>19.000000</c:v>
              </c:pt>
              <c:pt idx="13">
                <c:v>16.000000</c:v>
              </c:pt>
              <c:pt idx="14">
                <c:v>15.000000</c:v>
              </c:pt>
              <c:pt idx="15">
                <c:v>15.000000</c:v>
              </c:pt>
              <c:pt idx="16">
                <c:v>24.000000</c:v>
              </c:pt>
              <c:pt idx="17">
                <c:v>22.000000</c:v>
              </c:pt>
              <c:pt idx="18">
                <c:v>21.000000</c:v>
              </c:pt>
              <c:pt idx="19">
                <c:v>16.000000</c:v>
              </c:pt>
              <c:pt idx="20">
                <c:v>13.000000</c:v>
              </c:pt>
            </c:numLit>
          </c:val>
        </c:ser>
        <c:ser>
          <c:idx val="1"/>
          <c:order val="1"/>
          <c:tx>
            <c:v>女性</c:v>
          </c:tx>
          <c:spPr>
            <a:solidFill>
              <a:srgbClr val="FFCCFF"/>
            </a:solidFill>
            <a:ln w="9525" cap="flat">
              <a:solidFill>
                <a:srgbClr val="000000"/>
              </a:solidFill>
              <a:prstDash val="solid"/>
              <a:round/>
            </a:ln>
            <a:effectLst/>
          </c:spPr>
          <c:invertIfNegative val="0"/>
          <c:dLbls>
            <c:numFmt formatCode="#,##0" sourceLinked="1"/>
            <c:txPr>
              <a:bodyPr/>
              <a:lstStyle/>
              <a:p>
                <a:pPr>
                  <a:defRPr b="0" i="0" strike="noStrike" sz="10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Lit>
          </c:cat>
          <c:val>
            <c:numLit>
              <c:ptCount val="21"/>
              <c:pt idx="0">
                <c:v>1.000000</c:v>
              </c:pt>
              <c:pt idx="1">
                <c:v>9.000000</c:v>
              </c:pt>
              <c:pt idx="2">
                <c:v>48.000000</c:v>
              </c:pt>
              <c:pt idx="3">
                <c:v>81.000000</c:v>
              </c:pt>
              <c:pt idx="4">
                <c:v>91.000000</c:v>
              </c:pt>
              <c:pt idx="5">
                <c:v>84.000000</c:v>
              </c:pt>
              <c:pt idx="6">
                <c:v>66.000000</c:v>
              </c:pt>
              <c:pt idx="7">
                <c:v>48.000000</c:v>
              </c:pt>
              <c:pt idx="8">
                <c:v>69.000000</c:v>
              </c:pt>
              <c:pt idx="9">
                <c:v>44.000000</c:v>
              </c:pt>
              <c:pt idx="10">
                <c:v>42.000000</c:v>
              </c:pt>
              <c:pt idx="11">
                <c:v>26.000000</c:v>
              </c:pt>
              <c:pt idx="12">
                <c:v>21.000000</c:v>
              </c:pt>
              <c:pt idx="13">
                <c:v>21.000000</c:v>
              </c:pt>
              <c:pt idx="14">
                <c:v>20.000000</c:v>
              </c:pt>
              <c:pt idx="15">
                <c:v>18.000000</c:v>
              </c:pt>
              <c:pt idx="16">
                <c:v>10.000000</c:v>
              </c:pt>
              <c:pt idx="17">
                <c:v>14.000000</c:v>
              </c:pt>
              <c:pt idx="18">
                <c:v>13.000000</c:v>
              </c:pt>
              <c:pt idx="19">
                <c:v>11.000000</c:v>
              </c:pt>
              <c:pt idx="20">
                <c:v>11.000000</c:v>
              </c:pt>
            </c:numLit>
          </c:val>
        </c:ser>
        <c:gapWidth val="0"/>
        <c:overlap val="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ax val="300"/>
          <c:min val="-450"/>
        </c:scaling>
        <c:delete val="0"/>
        <c:axPos val="b"/>
        <c:majorGridlines>
          <c:spPr>
            <a:ln w="12700" cap="flat">
              <a:solidFill>
                <a:srgbClr val="D9D9D9"/>
              </a:solidFill>
              <a:prstDash val="solid"/>
              <a:round/>
            </a:ln>
          </c:spPr>
        </c:majorGridlines>
        <c:numFmt formatCode="#,##0;&quot; &quot;" sourceLinked="0"/>
        <c:majorTickMark val="none"/>
        <c:minorTickMark val="none"/>
        <c:tickLblPos val="high"/>
        <c:spPr>
          <a:ln w="12700" cap="flat">
            <a:noFill/>
            <a:prstDash val="solid"/>
            <a:round/>
          </a:ln>
        </c:spPr>
        <c:txPr>
          <a:bodyPr rot="0"/>
          <a:lstStyle/>
          <a:p>
            <a:pPr>
              <a:defRPr b="0" i="0" strike="noStrike" sz="1100" u="none">
                <a:solidFill>
                  <a:srgbClr val="595959"/>
                </a:solidFill>
                <a:latin typeface="HG丸ｺﾞｼｯｸM-PRO"/>
              </a:defRPr>
            </a:pPr>
          </a:p>
        </c:txPr>
        <c:crossAx val="2094734552"/>
        <c:crosses val="min"/>
        <c:crossBetween val="between"/>
        <c:majorUnit val="150"/>
        <c:minorUnit val="75"/>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2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600" u="none">
                <a:solidFill>
                  <a:srgbClr val="595959"/>
                </a:solidFill>
                <a:latin typeface="HG丸ｺﾞｼｯｸM-PRO"/>
              </a:defRPr>
            </a:pPr>
            <a:r>
              <a:rPr b="0" i="0" strike="noStrike" sz="1600" u="none">
                <a:solidFill>
                  <a:srgbClr val="595959"/>
                </a:solidFill>
                <a:latin typeface="HG丸ｺﾞｼｯｸM-PRO"/>
              </a:rPr>
              <a:t>人口ピラミッド（将来予測の比較）</a:t>
            </a:r>
          </a:p>
        </c:rich>
      </c:tx>
      <c:layout>
        <c:manualLayout>
          <c:xMode val="edge"/>
          <c:yMode val="edge"/>
          <c:x val="0.358378"/>
          <c:y val="0"/>
          <c:w val="0.283244"/>
          <c:h val="0.0571763"/>
        </c:manualLayout>
      </c:layout>
      <c:overlay val="1"/>
      <c:spPr>
        <a:noFill/>
        <a:effectLst/>
      </c:spPr>
    </c:title>
    <c:autoTitleDeleted val="1"/>
    <c:plotArea>
      <c:layout>
        <c:manualLayout>
          <c:layoutTarget val="inner"/>
          <c:xMode val="edge"/>
          <c:yMode val="edge"/>
          <c:x val="0.11962"/>
          <c:y val="0.0571763"/>
          <c:w val="0.863488"/>
          <c:h val="0.897792"/>
        </c:manualLayout>
      </c:layout>
      <c:barChart>
        <c:barDir val="bar"/>
        <c:grouping val="clustered"/>
        <c:varyColors val="0"/>
        <c:ser>
          <c:idx val="0"/>
          <c:order val="0"/>
          <c:tx>
            <c:v>これまでの傾向が続いた場合（男女計）</c:v>
          </c:tx>
          <c:spPr>
            <a:solidFill>
              <a:schemeClr val="accent5"/>
            </a:solidFill>
            <a:ln w="9525" cap="flat">
              <a:solidFill>
                <a:srgbClr val="000000"/>
              </a:solidFill>
              <a:prstDash val="solid"/>
              <a:round/>
            </a:ln>
            <a:effectLst/>
          </c:spPr>
          <c:invertIfNegative val="0"/>
          <c:dLbls>
            <c:numFmt formatCode="#,##0" sourceLinked="1"/>
            <c:txPr>
              <a:bodyPr/>
              <a:lstStyle/>
              <a:p>
                <a:pPr>
                  <a:defRPr b="0" i="0" strike="noStrike" sz="10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Lit>
          </c:cat>
          <c:val>
            <c:numLit>
              <c:ptCount val="21"/>
              <c:pt idx="0">
                <c:v>1.000000</c:v>
              </c:pt>
              <c:pt idx="1">
                <c:v>19.000000</c:v>
              </c:pt>
              <c:pt idx="2">
                <c:v>83.000000</c:v>
              </c:pt>
              <c:pt idx="3">
                <c:v>146.000000</c:v>
              </c:pt>
              <c:pt idx="4">
                <c:v>252.000000</c:v>
              </c:pt>
              <c:pt idx="5">
                <c:v>254.000000</c:v>
              </c:pt>
              <c:pt idx="6">
                <c:v>260.000000</c:v>
              </c:pt>
              <c:pt idx="7">
                <c:v>173.000000</c:v>
              </c:pt>
              <c:pt idx="8">
                <c:v>132.000000</c:v>
              </c:pt>
              <c:pt idx="9">
                <c:v>115.000000</c:v>
              </c:pt>
              <c:pt idx="10">
                <c:v>143.000000</c:v>
              </c:pt>
              <c:pt idx="11">
                <c:v>93.000000</c:v>
              </c:pt>
              <c:pt idx="12">
                <c:v>74.000000</c:v>
              </c:pt>
              <c:pt idx="13">
                <c:v>65.000000</c:v>
              </c:pt>
              <c:pt idx="14">
                <c:v>42.000000</c:v>
              </c:pt>
              <c:pt idx="15">
                <c:v>40.000000</c:v>
              </c:pt>
              <c:pt idx="16">
                <c:v>54.000000</c:v>
              </c:pt>
              <c:pt idx="17">
                <c:v>58.000000</c:v>
              </c:pt>
              <c:pt idx="18">
                <c:v>50.000000</c:v>
              </c:pt>
              <c:pt idx="19">
                <c:v>41.000000</c:v>
              </c:pt>
              <c:pt idx="20">
                <c:v>31.000000</c:v>
              </c:pt>
            </c:numLit>
          </c:val>
        </c:ser>
        <c:ser>
          <c:idx val="1"/>
          <c:order val="1"/>
          <c:tx>
            <c:v>移住受入を進めた場合（男女計）</c:v>
          </c:tx>
          <c:spPr>
            <a:blipFill rotWithShape="1">
              <a:blip r:embed="rId1"/>
              <a:srcRect l="0" t="0" r="0" b="0"/>
              <a:tile tx="0" ty="0" sx="100000" sy="100000" flip="none" algn="tl"/>
            </a:blipFill>
            <a:ln w="9525" cap="flat">
              <a:solidFill>
                <a:srgbClr val="000000"/>
              </a:solidFill>
              <a:prstDash val="solid"/>
              <a:round/>
            </a:ln>
            <a:effectLst/>
          </c:spPr>
          <c:invertIfNegative val="0"/>
          <c:dLbls>
            <c:numFmt formatCode="#,##0" sourceLinked="1"/>
            <c:txPr>
              <a:bodyPr/>
              <a:lstStyle/>
              <a:p>
                <a:pPr>
                  <a:defRPr b="0" i="0" strike="noStrike" sz="10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Lit>
          </c:cat>
          <c:val>
            <c:numLit>
              <c:ptCount val="21"/>
              <c:pt idx="0">
                <c:v>1.000000</c:v>
              </c:pt>
              <c:pt idx="1">
                <c:v>19.000000</c:v>
              </c:pt>
              <c:pt idx="2">
                <c:v>83.000000</c:v>
              </c:pt>
              <c:pt idx="3">
                <c:v>146.000000</c:v>
              </c:pt>
              <c:pt idx="4">
                <c:v>252.000000</c:v>
              </c:pt>
              <c:pt idx="5">
                <c:v>254.000000</c:v>
              </c:pt>
              <c:pt idx="6">
                <c:v>260.000000</c:v>
              </c:pt>
              <c:pt idx="7">
                <c:v>173.000000</c:v>
              </c:pt>
              <c:pt idx="8">
                <c:v>132.000000</c:v>
              </c:pt>
              <c:pt idx="9">
                <c:v>115.000000</c:v>
              </c:pt>
              <c:pt idx="10">
                <c:v>143.000000</c:v>
              </c:pt>
              <c:pt idx="11">
                <c:v>94.000000</c:v>
              </c:pt>
              <c:pt idx="12">
                <c:v>75.000000</c:v>
              </c:pt>
              <c:pt idx="13">
                <c:v>65.000000</c:v>
              </c:pt>
              <c:pt idx="14">
                <c:v>46.000000</c:v>
              </c:pt>
              <c:pt idx="15">
                <c:v>44.000000</c:v>
              </c:pt>
              <c:pt idx="16">
                <c:v>54.000000</c:v>
              </c:pt>
              <c:pt idx="17">
                <c:v>60.000000</c:v>
              </c:pt>
              <c:pt idx="18">
                <c:v>52.000000</c:v>
              </c:pt>
              <c:pt idx="19">
                <c:v>42.000000</c:v>
              </c:pt>
              <c:pt idx="20">
                <c:v>34.000000</c:v>
              </c:pt>
            </c:numLit>
          </c:val>
        </c:ser>
        <c:gapWidth val="0"/>
        <c:overlap val="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ax val="500"/>
          <c:min val="-750"/>
        </c:scaling>
        <c:delete val="0"/>
        <c:axPos val="b"/>
        <c:majorGridlines>
          <c:spPr>
            <a:ln w="12700" cap="flat">
              <a:solidFill>
                <a:srgbClr val="D9D9D9"/>
              </a:solidFill>
              <a:prstDash val="solid"/>
              <a:round/>
            </a:ln>
          </c:spPr>
        </c:majorGridlines>
        <c:numFmt formatCode="#,##0;&quot; &quot;" sourceLinked="0"/>
        <c:majorTickMark val="none"/>
        <c:minorTickMark val="none"/>
        <c:tickLblPos val="high"/>
        <c:spPr>
          <a:ln w="12700" cap="flat">
            <a:noFill/>
            <a:prstDash val="solid"/>
            <a:round/>
          </a:ln>
        </c:spPr>
        <c:txPr>
          <a:bodyPr rot="0"/>
          <a:lstStyle/>
          <a:p>
            <a:pPr>
              <a:defRPr b="0" i="0" strike="noStrike" sz="1100" u="none">
                <a:solidFill>
                  <a:srgbClr val="595959"/>
                </a:solidFill>
                <a:latin typeface="HG丸ｺﾞｼｯｸM-PRO"/>
              </a:defRPr>
            </a:pPr>
          </a:p>
        </c:txPr>
        <c:crossAx val="2094734552"/>
        <c:crosses val="min"/>
        <c:crossBetween val="between"/>
        <c:majorUnit val="250"/>
        <c:minorUnit val="125"/>
      </c:valAx>
      <c:spPr>
        <a:noFill/>
        <a:ln w="12700" cap="flat">
          <a:noFill/>
          <a:miter lim="400000"/>
        </a:ln>
        <a:effectLst/>
      </c:spPr>
    </c:plotArea>
    <c:legend>
      <c:legendPos val="t"/>
      <c:layout>
        <c:manualLayout>
          <c:xMode val="edge"/>
          <c:yMode val="edge"/>
          <c:x val="0.111327"/>
          <c:y val="0.0342523"/>
          <c:w val="0.884735"/>
          <c:h val="0.044716"/>
        </c:manualLayout>
      </c:layout>
      <c:overlay val="1"/>
      <c:spPr>
        <a:noFill/>
        <a:ln w="12700" cap="flat">
          <a:noFill/>
          <a:miter lim="400000"/>
        </a:ln>
        <a:effectLst/>
      </c:spPr>
      <c:txPr>
        <a:bodyPr rot="0"/>
        <a:lstStyle/>
        <a:p>
          <a:pPr>
            <a:defRPr b="0" i="0" strike="noStrike" sz="1000" u="none">
              <a:solidFill>
                <a:srgbClr val="595959"/>
              </a:solidFill>
              <a:latin typeface="HG丸ｺﾞｼｯｸM-PRO"/>
            </a:defRPr>
          </a:pPr>
        </a:p>
      </c:txPr>
    </c:legend>
    <c:plotVisOnly val="1"/>
    <c:dispBlanksAs val="gap"/>
  </c:chart>
  <c:spPr>
    <a:solidFill>
      <a:srgbClr val="FFFFFF"/>
    </a:solidFill>
    <a:ln w="12700" cap="flat">
      <a:solidFill>
        <a:srgbClr val="000000"/>
      </a:solidFill>
      <a:prstDash val="solid"/>
      <a:round/>
    </a:ln>
    <a:effectLst/>
  </c:spPr>
</c:chartSpace>
</file>

<file path=xl/charts/chart2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600" u="none">
                <a:solidFill>
                  <a:srgbClr val="595959"/>
                </a:solidFill>
                <a:latin typeface="HG丸ｺﾞｼｯｸM-PRO"/>
              </a:defRPr>
            </a:pPr>
            <a:r>
              <a:rPr b="0" i="0" strike="noStrike" sz="1600" u="none">
                <a:solidFill>
                  <a:srgbClr val="595959"/>
                </a:solidFill>
                <a:latin typeface="HG丸ｺﾞｼｯｸM-PRO"/>
              </a:rPr>
              <a:t>人口ピラミッド（将来予測の比較）</a:t>
            </a:r>
          </a:p>
        </c:rich>
      </c:tx>
      <c:layout>
        <c:manualLayout>
          <c:xMode val="edge"/>
          <c:yMode val="edge"/>
          <c:x val="0.358443"/>
          <c:y val="0"/>
          <c:w val="0.283114"/>
          <c:h val="0.0573531"/>
        </c:manualLayout>
      </c:layout>
      <c:overlay val="1"/>
      <c:spPr>
        <a:noFill/>
        <a:effectLst/>
      </c:spPr>
    </c:title>
    <c:autoTitleDeleted val="1"/>
    <c:plotArea>
      <c:layout>
        <c:manualLayout>
          <c:layoutTarget val="inner"/>
          <c:xMode val="edge"/>
          <c:yMode val="edge"/>
          <c:x val="0.119565"/>
          <c:y val="0.0573531"/>
          <c:w val="0.86355"/>
          <c:h val="0.897515"/>
        </c:manualLayout>
      </c:layout>
      <c:barChart>
        <c:barDir val="bar"/>
        <c:grouping val="clustered"/>
        <c:varyColors val="0"/>
        <c:ser>
          <c:idx val="0"/>
          <c:order val="0"/>
          <c:tx>
            <c:v>これまでの傾向が続いた場合（男女計）</c:v>
          </c:tx>
          <c:spPr>
            <a:solidFill>
              <a:schemeClr val="accent5"/>
            </a:solidFill>
            <a:ln w="9525" cap="flat">
              <a:solidFill>
                <a:srgbClr val="000000"/>
              </a:solidFill>
              <a:prstDash val="solid"/>
              <a:round/>
            </a:ln>
            <a:effectLst/>
          </c:spPr>
          <c:invertIfNegative val="0"/>
          <c:dLbls>
            <c:numFmt formatCode="#,##0" sourceLinked="1"/>
            <c:txPr>
              <a:bodyPr/>
              <a:lstStyle/>
              <a:p>
                <a:pPr>
                  <a:defRPr b="0" i="0" strike="noStrike" sz="10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Lit>
          </c:cat>
          <c:val>
            <c:numLit>
              <c:ptCount val="21"/>
              <c:pt idx="0">
                <c:v>1.000000</c:v>
              </c:pt>
              <c:pt idx="1">
                <c:v>14.000000</c:v>
              </c:pt>
              <c:pt idx="2">
                <c:v>77.000000</c:v>
              </c:pt>
              <c:pt idx="3">
                <c:v>138.000000</c:v>
              </c:pt>
              <c:pt idx="4">
                <c:v>182.000000</c:v>
              </c:pt>
              <c:pt idx="5">
                <c:v>142.000000</c:v>
              </c:pt>
              <c:pt idx="6">
                <c:v>118.000000</c:v>
              </c:pt>
              <c:pt idx="7">
                <c:v>109.000000</c:v>
              </c:pt>
              <c:pt idx="8">
                <c:v>139.000000</c:v>
              </c:pt>
              <c:pt idx="9">
                <c:v>90.000000</c:v>
              </c:pt>
              <c:pt idx="10">
                <c:v>70.000000</c:v>
              </c:pt>
              <c:pt idx="11">
                <c:v>57.000000</c:v>
              </c:pt>
              <c:pt idx="12">
                <c:v>36.000000</c:v>
              </c:pt>
              <c:pt idx="13">
                <c:v>33.000000</c:v>
              </c:pt>
              <c:pt idx="14">
                <c:v>32.000000</c:v>
              </c:pt>
              <c:pt idx="15">
                <c:v>28.000000</c:v>
              </c:pt>
              <c:pt idx="16">
                <c:v>33.000000</c:v>
              </c:pt>
              <c:pt idx="17">
                <c:v>32.000000</c:v>
              </c:pt>
              <c:pt idx="18">
                <c:v>29.000000</c:v>
              </c:pt>
              <c:pt idx="19">
                <c:v>24.000000</c:v>
              </c:pt>
              <c:pt idx="20">
                <c:v>20.000000</c:v>
              </c:pt>
            </c:numLit>
          </c:val>
        </c:ser>
        <c:ser>
          <c:idx val="1"/>
          <c:order val="1"/>
          <c:tx>
            <c:v>移住受入を進めた場合（男女計）</c:v>
          </c:tx>
          <c:spPr>
            <a:blipFill rotWithShape="1">
              <a:blip r:embed="rId1"/>
              <a:srcRect l="0" t="0" r="0" b="0"/>
              <a:tile tx="0" ty="0" sx="100000" sy="100000" flip="none" algn="tl"/>
            </a:blipFill>
            <a:ln w="9525" cap="flat">
              <a:solidFill>
                <a:srgbClr val="000000"/>
              </a:solidFill>
              <a:prstDash val="solid"/>
              <a:round/>
            </a:ln>
            <a:effectLst/>
          </c:spPr>
          <c:invertIfNegative val="0"/>
          <c:dLbls>
            <c:numFmt formatCode="#,##0" sourceLinked="1"/>
            <c:txPr>
              <a:bodyPr/>
              <a:lstStyle/>
              <a:p>
                <a:pPr>
                  <a:defRPr b="0" i="0" strike="noStrike" sz="10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Lit>
          </c:cat>
          <c:val>
            <c:numLit>
              <c:ptCount val="21"/>
              <c:pt idx="0">
                <c:v>1.000000</c:v>
              </c:pt>
              <c:pt idx="1">
                <c:v>14.000000</c:v>
              </c:pt>
              <c:pt idx="2">
                <c:v>77.000000</c:v>
              </c:pt>
              <c:pt idx="3">
                <c:v>138.000000</c:v>
              </c:pt>
              <c:pt idx="4">
                <c:v>182.000000</c:v>
              </c:pt>
              <c:pt idx="5">
                <c:v>142.000000</c:v>
              </c:pt>
              <c:pt idx="6">
                <c:v>118.000000</c:v>
              </c:pt>
              <c:pt idx="7">
                <c:v>109.000000</c:v>
              </c:pt>
              <c:pt idx="8">
                <c:v>139.000000</c:v>
              </c:pt>
              <c:pt idx="9">
                <c:v>90.000000</c:v>
              </c:pt>
              <c:pt idx="10">
                <c:v>71.000000</c:v>
              </c:pt>
              <c:pt idx="11">
                <c:v>58.000000</c:v>
              </c:pt>
              <c:pt idx="12">
                <c:v>40.000000</c:v>
              </c:pt>
              <c:pt idx="13">
                <c:v>37.000000</c:v>
              </c:pt>
              <c:pt idx="14">
                <c:v>35.000000</c:v>
              </c:pt>
              <c:pt idx="15">
                <c:v>33.000000</c:v>
              </c:pt>
              <c:pt idx="16">
                <c:v>34.000000</c:v>
              </c:pt>
              <c:pt idx="17">
                <c:v>36.000000</c:v>
              </c:pt>
              <c:pt idx="18">
                <c:v>34.000000</c:v>
              </c:pt>
              <c:pt idx="19">
                <c:v>27.000000</c:v>
              </c:pt>
              <c:pt idx="20">
                <c:v>24.000000</c:v>
              </c:pt>
            </c:numLit>
          </c:val>
        </c:ser>
        <c:gapWidth val="0"/>
        <c:overlap val="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ax val="500"/>
          <c:min val="-750"/>
        </c:scaling>
        <c:delete val="0"/>
        <c:axPos val="b"/>
        <c:majorGridlines>
          <c:spPr>
            <a:ln w="12700" cap="flat">
              <a:solidFill>
                <a:srgbClr val="D9D9D9"/>
              </a:solidFill>
              <a:prstDash val="solid"/>
              <a:round/>
            </a:ln>
          </c:spPr>
        </c:majorGridlines>
        <c:numFmt formatCode="#,##0;&quot; &quot;" sourceLinked="0"/>
        <c:majorTickMark val="none"/>
        <c:minorTickMark val="none"/>
        <c:tickLblPos val="high"/>
        <c:spPr>
          <a:ln w="12700" cap="flat">
            <a:noFill/>
            <a:prstDash val="solid"/>
            <a:round/>
          </a:ln>
        </c:spPr>
        <c:txPr>
          <a:bodyPr rot="0"/>
          <a:lstStyle/>
          <a:p>
            <a:pPr>
              <a:defRPr b="0" i="0" strike="noStrike" sz="1100" u="none">
                <a:solidFill>
                  <a:srgbClr val="595959"/>
                </a:solidFill>
                <a:latin typeface="HG丸ｺﾞｼｯｸM-PRO"/>
              </a:defRPr>
            </a:pPr>
          </a:p>
        </c:txPr>
        <c:crossAx val="2094734552"/>
        <c:crosses val="min"/>
        <c:crossBetween val="between"/>
        <c:majorUnit val="250"/>
        <c:minorUnit val="125"/>
      </c:valAx>
      <c:spPr>
        <a:noFill/>
        <a:ln w="12700" cap="flat">
          <a:noFill/>
          <a:miter lim="400000"/>
        </a:ln>
        <a:effectLst/>
      </c:spPr>
    </c:plotArea>
    <c:legend>
      <c:legendPos val="t"/>
      <c:layout>
        <c:manualLayout>
          <c:xMode val="edge"/>
          <c:yMode val="edge"/>
          <c:x val="0.108945"/>
          <c:y val="0.0344697"/>
          <c:w val="0.88479"/>
          <c:h val="0.0447769"/>
        </c:manualLayout>
      </c:layout>
      <c:overlay val="1"/>
      <c:spPr>
        <a:noFill/>
        <a:ln w="12700" cap="flat">
          <a:noFill/>
          <a:miter lim="400000"/>
        </a:ln>
        <a:effectLst/>
      </c:spPr>
      <c:txPr>
        <a:bodyPr rot="0"/>
        <a:lstStyle/>
        <a:p>
          <a:pPr>
            <a:defRPr b="0" i="0" strike="noStrike" sz="1000" u="none">
              <a:solidFill>
                <a:srgbClr val="595959"/>
              </a:solidFill>
              <a:latin typeface="HG丸ｺﾞｼｯｸM-PRO"/>
            </a:defRPr>
          </a:pPr>
        </a:p>
      </c:txPr>
    </c:legend>
    <c:plotVisOnly val="1"/>
    <c:dispBlanksAs val="gap"/>
  </c:chart>
  <c:spPr>
    <a:solidFill>
      <a:srgbClr val="FFFFFF"/>
    </a:solidFill>
    <a:ln w="12700" cap="flat">
      <a:solidFill>
        <a:srgbClr val="000000"/>
      </a:solidFill>
      <a:prstDash val="solid"/>
      <a:round/>
    </a:ln>
    <a:effectLst/>
  </c:spPr>
</c:chartSpace>
</file>

<file path=xl/charts/chart2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600" u="none">
                <a:solidFill>
                  <a:srgbClr val="595959"/>
                </a:solidFill>
                <a:latin typeface="HG丸ｺﾞｼｯｸM-PRO"/>
              </a:defRPr>
            </a:pPr>
            <a:r>
              <a:rPr b="0" i="0" strike="noStrike" sz="1600" u="none">
                <a:solidFill>
                  <a:srgbClr val="595959"/>
                </a:solidFill>
                <a:latin typeface="HG丸ｺﾞｼｯｸM-PRO"/>
              </a:rPr>
              <a:t>世帯内に65歳以上がいる世帯の割合</a:t>
            </a:r>
          </a:p>
        </c:rich>
      </c:tx>
      <c:layout>
        <c:manualLayout>
          <c:xMode val="edge"/>
          <c:yMode val="edge"/>
          <c:x val="0.370868"/>
          <c:y val="0"/>
          <c:w val="0.258264"/>
          <c:h val="0.203226"/>
        </c:manualLayout>
      </c:layout>
      <c:overlay val="1"/>
      <c:spPr>
        <a:noFill/>
        <a:effectLst/>
      </c:spPr>
    </c:title>
    <c:autoTitleDeleted val="1"/>
    <c:plotArea>
      <c:layout>
        <c:manualLayout>
          <c:layoutTarget val="inner"/>
          <c:xMode val="edge"/>
          <c:yMode val="edge"/>
          <c:x val="0.145164"/>
          <c:y val="0.203226"/>
          <c:w val="0.802359"/>
          <c:h val="0.660081"/>
        </c:manualLayout>
      </c:layout>
      <c:barChart>
        <c:barDir val="bar"/>
        <c:grouping val="clustered"/>
        <c:varyColors val="0"/>
        <c:ser>
          <c:idx val="0"/>
          <c:order val="0"/>
          <c:tx>
            <c:v/>
          </c:tx>
          <c:spPr>
            <a:solidFill>
              <a:srgbClr val="FF0000"/>
            </a:solidFill>
            <a:ln w="9525" cap="flat">
              <a:solidFill>
                <a:srgbClr val="000000"/>
              </a:solidFill>
              <a:prstDash val="solid"/>
              <a:round/>
            </a:ln>
            <a:effectLst/>
          </c:spPr>
          <c:invertIfNegative val="0"/>
          <c:dPt>
            <c:idx val="0"/>
            <c:spPr>
              <a:solidFill>
                <a:srgbClr val="FF0000"/>
              </a:solidFill>
              <a:ln w="9525" cap="flat">
                <a:solidFill>
                  <a:srgbClr val="000000"/>
                </a:solidFill>
                <a:prstDash val="solid"/>
                <a:round/>
              </a:ln>
              <a:effectLst/>
            </c:spPr>
          </c:dPt>
          <c:dPt>
            <c:idx val="1"/>
            <c:spPr>
              <a:solidFill>
                <a:srgbClr val="00B0F0"/>
              </a:solidFill>
              <a:ln w="9525" cap="flat">
                <a:solidFill>
                  <a:srgbClr val="000000"/>
                </a:solidFill>
                <a:prstDash val="solid"/>
                <a:round/>
              </a:ln>
              <a:effectLst/>
            </c:spPr>
          </c:dPt>
          <c:dPt>
            <c:idx val="2"/>
            <c:spPr>
              <a:solidFill>
                <a:schemeClr val="accent4"/>
              </a:solidFill>
              <a:ln w="9525" cap="flat">
                <a:solidFill>
                  <a:srgbClr val="000000"/>
                </a:solidFill>
                <a:prstDash val="solid"/>
                <a:round/>
              </a:ln>
              <a:effectLst/>
            </c:spPr>
          </c:dPt>
          <c:dLbls>
            <c:dLbl>
              <c:idx val="0"/>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1"/>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2"/>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3"/>
              <c:pt idx="0">
                <c:v>細田地区</c:v>
              </c:pt>
              <c:pt idx="1">
                <c:v>日南市平均</c:v>
              </c:pt>
              <c:pt idx="2">
                <c:v>県平均</c:v>
              </c:pt>
            </c:strLit>
          </c:cat>
          <c:val>
            <c:numLit>
              <c:ptCount val="3"/>
              <c:pt idx="0">
                <c:v>0.689162</c:v>
              </c:pt>
              <c:pt idx="1">
                <c:v>0.548907</c:v>
              </c:pt>
              <c:pt idx="2">
                <c:v>0.461087</c:v>
              </c:pt>
            </c:numLit>
          </c:val>
        </c:ser>
        <c:gapWidth val="100"/>
        <c:overlap val="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D9D9D9"/>
            </a:solidFill>
            <a:prstDash val="solid"/>
            <a:round/>
          </a:ln>
        </c:spPr>
        <c:txPr>
          <a:bodyPr rot="0"/>
          <a:lstStyle/>
          <a:p>
            <a:pPr>
              <a:defRPr b="0" i="0" strike="noStrike" sz="1400" u="none">
                <a:solidFill>
                  <a:srgbClr val="595959"/>
                </a:solidFill>
                <a:latin typeface="HG丸ｺﾞｼｯｸM-PRO"/>
              </a:defRPr>
            </a:pPr>
          </a:p>
        </c:txPr>
        <c:crossAx val="2094734553"/>
        <c:crosses val="autoZero"/>
        <c:auto val="1"/>
        <c:lblAlgn val="ctr"/>
        <c:noMultiLvlLbl val="1"/>
      </c:catAx>
      <c:valAx>
        <c:axId val="2094734553"/>
        <c:scaling>
          <c:orientation val="minMax"/>
          <c:min val="0"/>
        </c:scaling>
        <c:delete val="0"/>
        <c:axPos val="b"/>
        <c:majorGridlines>
          <c:spPr>
            <a:ln w="12700" cap="flat">
              <a:solidFill>
                <a:srgbClr val="D9D9D9"/>
              </a:solidFill>
              <a:prstDash val="solid"/>
              <a:round/>
            </a:ln>
          </c:spPr>
        </c:majorGridlines>
        <c:numFmt formatCode="General" sourceLinked="1"/>
        <c:majorTickMark val="none"/>
        <c:minorTickMark val="none"/>
        <c:tickLblPos val="high"/>
        <c:spPr>
          <a:ln w="12700" cap="flat">
            <a:noFill/>
            <a:prstDash val="solid"/>
            <a:round/>
          </a:ln>
        </c:spPr>
        <c:txPr>
          <a:bodyPr rot="0"/>
          <a:lstStyle/>
          <a:p>
            <a:pPr>
              <a:defRPr b="0" i="0" strike="noStrike" sz="1400" u="none">
                <a:solidFill>
                  <a:srgbClr val="595959"/>
                </a:solidFill>
                <a:latin typeface="HG丸ｺﾞｼｯｸM-PRO"/>
              </a:defRPr>
            </a:pPr>
          </a:p>
        </c:txPr>
        <c:crossAx val="2094734552"/>
        <c:crosses val="autoZero"/>
        <c:crossBetween val="between"/>
        <c:majorUnit val="0.175"/>
        <c:minorUnit val="0.0875"/>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25.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600" u="none">
                <a:solidFill>
                  <a:srgbClr val="595959"/>
                </a:solidFill>
                <a:latin typeface="HG丸ｺﾞｼｯｸM-PRO"/>
              </a:defRPr>
            </a:pPr>
            <a:r>
              <a:rPr b="0" i="0" strike="noStrike" sz="1600" u="none">
                <a:solidFill>
                  <a:srgbClr val="595959"/>
                </a:solidFill>
                <a:latin typeface="HG丸ｺﾞｼｯｸM-PRO"/>
              </a:rPr>
              <a:t>65歳以上の一人暮らし世帯の割合</a:t>
            </a:r>
          </a:p>
        </c:rich>
      </c:tx>
      <c:layout>
        <c:manualLayout>
          <c:xMode val="edge"/>
          <c:yMode val="edge"/>
          <c:x val="0.376997"/>
          <c:y val="0"/>
          <c:w val="0.246006"/>
          <c:h val="0.202721"/>
        </c:manualLayout>
      </c:layout>
      <c:overlay val="1"/>
      <c:spPr>
        <a:noFill/>
        <a:effectLst/>
      </c:spPr>
    </c:title>
    <c:autoTitleDeleted val="1"/>
    <c:plotArea>
      <c:layout>
        <c:manualLayout>
          <c:layoutTarget val="inner"/>
          <c:xMode val="edge"/>
          <c:yMode val="edge"/>
          <c:x val="0.14705"/>
          <c:y val="0.202721"/>
          <c:w val="0.812786"/>
          <c:h val="0.660895"/>
        </c:manualLayout>
      </c:layout>
      <c:barChart>
        <c:barDir val="bar"/>
        <c:grouping val="clustered"/>
        <c:varyColors val="0"/>
        <c:ser>
          <c:idx val="0"/>
          <c:order val="0"/>
          <c:tx>
            <c:v/>
          </c:tx>
          <c:spPr>
            <a:solidFill>
              <a:srgbClr val="FF0000"/>
            </a:solidFill>
            <a:ln w="9525" cap="flat">
              <a:solidFill>
                <a:srgbClr val="000000"/>
              </a:solidFill>
              <a:prstDash val="solid"/>
              <a:round/>
            </a:ln>
            <a:effectLst/>
          </c:spPr>
          <c:invertIfNegative val="0"/>
          <c:dPt>
            <c:idx val="0"/>
            <c:spPr>
              <a:solidFill>
                <a:srgbClr val="FF0000"/>
              </a:solidFill>
              <a:ln w="9525" cap="flat">
                <a:solidFill>
                  <a:srgbClr val="000000"/>
                </a:solidFill>
                <a:prstDash val="solid"/>
                <a:round/>
              </a:ln>
              <a:effectLst/>
            </c:spPr>
          </c:dPt>
          <c:dPt>
            <c:idx val="1"/>
            <c:spPr>
              <a:solidFill>
                <a:srgbClr val="00B0F0"/>
              </a:solidFill>
              <a:ln w="9525" cap="flat">
                <a:solidFill>
                  <a:srgbClr val="000000"/>
                </a:solidFill>
                <a:prstDash val="solid"/>
                <a:round/>
              </a:ln>
              <a:effectLst/>
            </c:spPr>
          </c:dPt>
          <c:dPt>
            <c:idx val="2"/>
            <c:spPr>
              <a:solidFill>
                <a:schemeClr val="accent4"/>
              </a:solidFill>
              <a:ln w="9525" cap="flat">
                <a:solidFill>
                  <a:srgbClr val="000000"/>
                </a:solidFill>
                <a:prstDash val="solid"/>
                <a:round/>
              </a:ln>
              <a:effectLst/>
            </c:spPr>
          </c:dPt>
          <c:dLbls>
            <c:dLbl>
              <c:idx val="0"/>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1"/>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2"/>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3"/>
              <c:pt idx="0">
                <c:v>細田地区</c:v>
              </c:pt>
              <c:pt idx="1">
                <c:v>日南市平均</c:v>
              </c:pt>
              <c:pt idx="2">
                <c:v>県平均</c:v>
              </c:pt>
            </c:strLit>
          </c:cat>
          <c:val>
            <c:numLit>
              <c:ptCount val="3"/>
              <c:pt idx="0">
                <c:v>0.232447</c:v>
              </c:pt>
              <c:pt idx="1">
                <c:v>0.186475</c:v>
              </c:pt>
              <c:pt idx="2">
                <c:v>0.150753</c:v>
              </c:pt>
            </c:numLit>
          </c:val>
        </c:ser>
        <c:gapWidth val="100"/>
        <c:overlap val="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D9D9D9"/>
            </a:solidFill>
            <a:prstDash val="solid"/>
            <a:round/>
          </a:ln>
        </c:spPr>
        <c:txPr>
          <a:bodyPr rot="0"/>
          <a:lstStyle/>
          <a:p>
            <a:pPr>
              <a:defRPr b="0" i="0" strike="noStrike" sz="1400" u="none">
                <a:solidFill>
                  <a:srgbClr val="595959"/>
                </a:solidFill>
                <a:latin typeface="HG丸ｺﾞｼｯｸM-PRO"/>
              </a:defRPr>
            </a:pPr>
          </a:p>
        </c:txPr>
        <c:crossAx val="2094734553"/>
        <c:crosses val="autoZero"/>
        <c:auto val="1"/>
        <c:lblAlgn val="ctr"/>
        <c:noMultiLvlLbl val="1"/>
      </c:catAx>
      <c:valAx>
        <c:axId val="2094734553"/>
        <c:scaling>
          <c:orientation val="minMax"/>
          <c:min val="0"/>
        </c:scaling>
        <c:delete val="0"/>
        <c:axPos val="b"/>
        <c:majorGridlines>
          <c:spPr>
            <a:ln w="12700" cap="flat">
              <a:solidFill>
                <a:srgbClr val="D9D9D9"/>
              </a:solidFill>
              <a:prstDash val="solid"/>
              <a:round/>
            </a:ln>
          </c:spPr>
        </c:majorGridlines>
        <c:numFmt formatCode="General" sourceLinked="1"/>
        <c:majorTickMark val="none"/>
        <c:minorTickMark val="none"/>
        <c:tickLblPos val="high"/>
        <c:spPr>
          <a:ln w="12700" cap="flat">
            <a:noFill/>
            <a:prstDash val="solid"/>
            <a:round/>
          </a:ln>
        </c:spPr>
        <c:txPr>
          <a:bodyPr rot="0"/>
          <a:lstStyle/>
          <a:p>
            <a:pPr>
              <a:defRPr b="0" i="0" strike="noStrike" sz="1400" u="none">
                <a:solidFill>
                  <a:srgbClr val="595959"/>
                </a:solidFill>
                <a:latin typeface="HG丸ｺﾞｼｯｸM-PRO"/>
              </a:defRPr>
            </a:pPr>
          </a:p>
        </c:txPr>
        <c:crossAx val="2094734552"/>
        <c:crosses val="autoZero"/>
        <c:crossBetween val="between"/>
        <c:majorUnit val="0.06"/>
        <c:minorUnit val="0.03"/>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26.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600" u="none">
                <a:solidFill>
                  <a:srgbClr val="595959"/>
                </a:solidFill>
                <a:latin typeface="HG丸ｺﾞｼｯｸM-PRO"/>
              </a:defRPr>
            </a:pPr>
            <a:r>
              <a:rPr b="0" i="0" strike="noStrike" sz="1600" u="none">
                <a:solidFill>
                  <a:srgbClr val="595959"/>
                </a:solidFill>
                <a:latin typeface="HG丸ｺﾞｼｯｸM-PRO"/>
              </a:rPr>
              <a:t>居住期間が10年未満の居住者の割合</a:t>
            </a:r>
          </a:p>
        </c:rich>
      </c:tx>
      <c:layout>
        <c:manualLayout>
          <c:xMode val="edge"/>
          <c:yMode val="edge"/>
          <c:x val="0.368868"/>
          <c:y val="0"/>
          <c:w val="0.262263"/>
          <c:h val="0.104278"/>
        </c:manualLayout>
      </c:layout>
      <c:overlay val="1"/>
      <c:spPr>
        <a:noFill/>
        <a:effectLst/>
      </c:spPr>
    </c:title>
    <c:autoTitleDeleted val="1"/>
    <c:plotArea>
      <c:layout>
        <c:manualLayout>
          <c:layoutTarget val="inner"/>
          <c:xMode val="edge"/>
          <c:yMode val="edge"/>
          <c:x val="0.147412"/>
          <c:y val="0.104278"/>
          <c:w val="0.814784"/>
          <c:h val="0.819497"/>
        </c:manualLayout>
      </c:layout>
      <c:barChart>
        <c:barDir val="bar"/>
        <c:grouping val="clustered"/>
        <c:varyColors val="0"/>
        <c:ser>
          <c:idx val="0"/>
          <c:order val="0"/>
          <c:tx>
            <c:v/>
          </c:tx>
          <c:spPr>
            <a:solidFill>
              <a:srgbClr val="FF0000"/>
            </a:solidFill>
            <a:ln w="9525" cap="flat">
              <a:solidFill>
                <a:srgbClr val="000000"/>
              </a:solidFill>
              <a:prstDash val="solid"/>
              <a:round/>
            </a:ln>
            <a:effectLst/>
          </c:spPr>
          <c:invertIfNegative val="0"/>
          <c:dPt>
            <c:idx val="0"/>
            <c:spPr>
              <a:solidFill>
                <a:srgbClr val="FF0000"/>
              </a:solidFill>
              <a:ln w="9525" cap="flat">
                <a:solidFill>
                  <a:srgbClr val="000000"/>
                </a:solidFill>
                <a:prstDash val="solid"/>
                <a:round/>
              </a:ln>
              <a:effectLst/>
            </c:spPr>
          </c:dPt>
          <c:dPt>
            <c:idx val="1"/>
            <c:spPr>
              <a:solidFill>
                <a:srgbClr val="00B0F0"/>
              </a:solidFill>
              <a:ln w="9525" cap="flat">
                <a:solidFill>
                  <a:srgbClr val="000000"/>
                </a:solidFill>
                <a:prstDash val="solid"/>
                <a:round/>
              </a:ln>
              <a:effectLst/>
            </c:spPr>
          </c:dPt>
          <c:dPt>
            <c:idx val="2"/>
            <c:spPr>
              <a:solidFill>
                <a:schemeClr val="accent4"/>
              </a:solidFill>
              <a:ln w="9525" cap="flat">
                <a:solidFill>
                  <a:srgbClr val="000000"/>
                </a:solidFill>
                <a:prstDash val="solid"/>
                <a:round/>
              </a:ln>
              <a:effectLst/>
            </c:spPr>
          </c:dPt>
          <c:dLbls>
            <c:dLbl>
              <c:idx val="0"/>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1"/>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2"/>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3"/>
              <c:pt idx="0">
                <c:v>細田地区</c:v>
              </c:pt>
              <c:pt idx="1">
                <c:v>日南市平均</c:v>
              </c:pt>
              <c:pt idx="2">
                <c:v>県平均</c:v>
              </c:pt>
            </c:strLit>
          </c:cat>
          <c:val>
            <c:numLit>
              <c:ptCount val="3"/>
              <c:pt idx="0">
                <c:v>0.168746</c:v>
              </c:pt>
              <c:pt idx="1">
                <c:v>0.338263</c:v>
              </c:pt>
              <c:pt idx="2">
                <c:v>0.347584</c:v>
              </c:pt>
            </c:numLit>
          </c:val>
        </c:ser>
        <c:gapWidth val="100"/>
        <c:overlap val="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D9D9D9"/>
            </a:solidFill>
            <a:prstDash val="solid"/>
            <a:round/>
          </a:ln>
        </c:spPr>
        <c:txPr>
          <a:bodyPr rot="0"/>
          <a:lstStyle/>
          <a:p>
            <a:pPr>
              <a:defRPr b="0" i="0" strike="noStrike" sz="1400" u="none">
                <a:solidFill>
                  <a:srgbClr val="595959"/>
                </a:solidFill>
                <a:latin typeface="HG丸ｺﾞｼｯｸM-PRO"/>
              </a:defRPr>
            </a:pPr>
          </a:p>
        </c:txPr>
        <c:crossAx val="2094734553"/>
        <c:crosses val="autoZero"/>
        <c:auto val="1"/>
        <c:lblAlgn val="ctr"/>
        <c:noMultiLvlLbl val="1"/>
      </c:catAx>
      <c:valAx>
        <c:axId val="2094734553"/>
        <c:scaling>
          <c:orientation val="minMax"/>
          <c:min val="0"/>
        </c:scaling>
        <c:delete val="0"/>
        <c:axPos val="b"/>
        <c:majorGridlines>
          <c:spPr>
            <a:ln w="12700" cap="flat">
              <a:solidFill>
                <a:srgbClr val="D9D9D9"/>
              </a:solidFill>
              <a:prstDash val="solid"/>
              <a:round/>
            </a:ln>
          </c:spPr>
        </c:majorGridlines>
        <c:numFmt formatCode="General" sourceLinked="1"/>
        <c:majorTickMark val="none"/>
        <c:minorTickMark val="none"/>
        <c:tickLblPos val="high"/>
        <c:spPr>
          <a:ln w="12700" cap="flat">
            <a:noFill/>
            <a:prstDash val="solid"/>
            <a:round/>
          </a:ln>
        </c:spPr>
        <c:txPr>
          <a:bodyPr rot="0"/>
          <a:lstStyle/>
          <a:p>
            <a:pPr>
              <a:defRPr b="0" i="0" strike="noStrike" sz="1400" u="none">
                <a:solidFill>
                  <a:srgbClr val="595959"/>
                </a:solidFill>
                <a:latin typeface="HG丸ｺﾞｼｯｸM-PRO"/>
              </a:defRPr>
            </a:pPr>
          </a:p>
        </c:txPr>
        <c:crossAx val="2094734552"/>
        <c:crosses val="autoZero"/>
        <c:crossBetween val="between"/>
        <c:majorUnit val="0.09"/>
        <c:minorUnit val="0.045"/>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27.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600" u="none">
                <a:solidFill>
                  <a:srgbClr val="595959"/>
                </a:solidFill>
                <a:latin typeface="HG丸ｺﾞｼｯｸM-PRO"/>
              </a:defRPr>
            </a:pPr>
            <a:r>
              <a:rPr b="0" i="0" strike="noStrike" sz="1600" u="none">
                <a:solidFill>
                  <a:srgbClr val="595959"/>
                </a:solidFill>
                <a:latin typeface="HG丸ｺﾞｼｯｸM-PRO"/>
              </a:rPr>
              <a:t>転入者における女性の割合</a:t>
            </a:r>
          </a:p>
        </c:rich>
      </c:tx>
      <c:layout>
        <c:manualLayout>
          <c:xMode val="edge"/>
          <c:yMode val="edge"/>
          <c:x val="0.408141"/>
          <c:y val="0"/>
          <c:w val="0.183718"/>
          <c:h val="0.096426"/>
        </c:manualLayout>
      </c:layout>
      <c:overlay val="1"/>
      <c:spPr>
        <a:noFill/>
        <a:effectLst/>
      </c:spPr>
    </c:title>
    <c:autoTitleDeleted val="1"/>
    <c:plotArea>
      <c:layout>
        <c:manualLayout>
          <c:layoutTarget val="inner"/>
          <c:xMode val="edge"/>
          <c:yMode val="edge"/>
          <c:x val="0.144181"/>
          <c:y val="0.096426"/>
          <c:w val="0.796928"/>
          <c:h val="0.82679"/>
        </c:manualLayout>
      </c:layout>
      <c:barChart>
        <c:barDir val="bar"/>
        <c:grouping val="clustered"/>
        <c:varyColors val="0"/>
        <c:ser>
          <c:idx val="0"/>
          <c:order val="0"/>
          <c:tx>
            <c:v/>
          </c:tx>
          <c:spPr>
            <a:solidFill>
              <a:srgbClr val="FF0000"/>
            </a:solidFill>
            <a:ln w="9525" cap="flat">
              <a:solidFill>
                <a:srgbClr val="000000"/>
              </a:solidFill>
              <a:prstDash val="solid"/>
              <a:round/>
            </a:ln>
            <a:effectLst/>
          </c:spPr>
          <c:invertIfNegative val="0"/>
          <c:dPt>
            <c:idx val="0"/>
            <c:spPr>
              <a:solidFill>
                <a:srgbClr val="FF0000"/>
              </a:solidFill>
              <a:ln w="9525" cap="flat">
                <a:solidFill>
                  <a:srgbClr val="000000"/>
                </a:solidFill>
                <a:prstDash val="solid"/>
                <a:round/>
              </a:ln>
              <a:effectLst/>
            </c:spPr>
          </c:dPt>
          <c:dPt>
            <c:idx val="1"/>
            <c:spPr>
              <a:solidFill>
                <a:srgbClr val="00B0F0"/>
              </a:solidFill>
              <a:ln w="9525" cap="flat">
                <a:solidFill>
                  <a:srgbClr val="000000"/>
                </a:solidFill>
                <a:prstDash val="solid"/>
                <a:round/>
              </a:ln>
              <a:effectLst/>
            </c:spPr>
          </c:dPt>
          <c:dPt>
            <c:idx val="2"/>
            <c:spPr>
              <a:solidFill>
                <a:schemeClr val="accent4"/>
              </a:solidFill>
              <a:ln w="9525" cap="flat">
                <a:solidFill>
                  <a:srgbClr val="000000"/>
                </a:solidFill>
                <a:prstDash val="solid"/>
                <a:round/>
              </a:ln>
              <a:effectLst/>
            </c:spPr>
          </c:dPt>
          <c:dLbls>
            <c:dLbl>
              <c:idx val="0"/>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1"/>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2"/>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3"/>
              <c:pt idx="0">
                <c:v>細田地区</c:v>
              </c:pt>
              <c:pt idx="1">
                <c:v>日南市平均</c:v>
              </c:pt>
              <c:pt idx="2">
                <c:v>県平均</c:v>
              </c:pt>
            </c:strLit>
          </c:cat>
          <c:val>
            <c:numLit>
              <c:ptCount val="3"/>
              <c:pt idx="0">
                <c:v>0.477509</c:v>
              </c:pt>
              <c:pt idx="1">
                <c:v>0.526296</c:v>
              </c:pt>
              <c:pt idx="2">
                <c:v>0.525909</c:v>
              </c:pt>
            </c:numLit>
          </c:val>
        </c:ser>
        <c:gapWidth val="100"/>
        <c:overlap val="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D9D9D9"/>
            </a:solidFill>
            <a:prstDash val="solid"/>
            <a:round/>
          </a:ln>
        </c:spPr>
        <c:txPr>
          <a:bodyPr rot="0"/>
          <a:lstStyle/>
          <a:p>
            <a:pPr>
              <a:defRPr b="0" i="0" strike="noStrike" sz="1400" u="none">
                <a:solidFill>
                  <a:srgbClr val="595959"/>
                </a:solidFill>
                <a:latin typeface="HG丸ｺﾞｼｯｸM-PRO"/>
              </a:defRPr>
            </a:pPr>
          </a:p>
        </c:txPr>
        <c:crossAx val="2094734553"/>
        <c:crosses val="autoZero"/>
        <c:auto val="1"/>
        <c:lblAlgn val="ctr"/>
        <c:noMultiLvlLbl val="1"/>
      </c:catAx>
      <c:valAx>
        <c:axId val="2094734553"/>
        <c:scaling>
          <c:orientation val="minMax"/>
          <c:min val="0"/>
        </c:scaling>
        <c:delete val="0"/>
        <c:axPos val="b"/>
        <c:majorGridlines>
          <c:spPr>
            <a:ln w="12700" cap="flat">
              <a:solidFill>
                <a:srgbClr val="D9D9D9"/>
              </a:solidFill>
              <a:prstDash val="solid"/>
              <a:round/>
            </a:ln>
          </c:spPr>
        </c:majorGridlines>
        <c:numFmt formatCode="General" sourceLinked="1"/>
        <c:majorTickMark val="none"/>
        <c:minorTickMark val="none"/>
        <c:tickLblPos val="high"/>
        <c:spPr>
          <a:ln w="12700" cap="flat">
            <a:noFill/>
            <a:prstDash val="solid"/>
            <a:round/>
          </a:ln>
        </c:spPr>
        <c:txPr>
          <a:bodyPr rot="0"/>
          <a:lstStyle/>
          <a:p>
            <a:pPr>
              <a:defRPr b="0" i="0" strike="noStrike" sz="1400" u="none">
                <a:solidFill>
                  <a:srgbClr val="595959"/>
                </a:solidFill>
                <a:latin typeface="HG丸ｺﾞｼｯｸM-PRO"/>
              </a:defRPr>
            </a:pPr>
          </a:p>
        </c:txPr>
        <c:crossAx val="2094734552"/>
        <c:crosses val="autoZero"/>
        <c:crossBetween val="between"/>
        <c:majorUnit val="0.1325"/>
        <c:minorUnit val="0.06625"/>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28.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800" u="none">
                <a:solidFill>
                  <a:srgbClr val="595959"/>
                </a:solidFill>
                <a:latin typeface="HG丸ｺﾞｼｯｸM-PRO"/>
              </a:defRPr>
            </a:pPr>
            <a:r>
              <a:rPr b="0" i="0" strike="noStrike" sz="1800" u="none">
                <a:solidFill>
                  <a:srgbClr val="595959"/>
                </a:solidFill>
                <a:latin typeface="HG丸ｺﾞｼｯｸM-PRO"/>
              </a:rPr>
              <a:t>産業別就業者割合</a:t>
            </a:r>
          </a:p>
        </c:rich>
      </c:tx>
      <c:layout>
        <c:manualLayout>
          <c:xMode val="edge"/>
          <c:yMode val="edge"/>
          <c:x val="0.423983"/>
          <c:y val="0"/>
          <c:w val="0.152033"/>
          <c:h val="0.0759262"/>
        </c:manualLayout>
      </c:layout>
      <c:overlay val="1"/>
      <c:spPr>
        <a:noFill/>
        <a:effectLst/>
      </c:spPr>
    </c:title>
    <c:autoTitleDeleted val="1"/>
    <c:plotArea>
      <c:layout>
        <c:manualLayout>
          <c:layoutTarget val="inner"/>
          <c:xMode val="edge"/>
          <c:yMode val="edge"/>
          <c:x val="0.0700137"/>
          <c:y val="0.0759262"/>
          <c:w val="0.924986"/>
          <c:h val="0.873611"/>
        </c:manualLayout>
      </c:layout>
      <c:barChart>
        <c:barDir val="col"/>
        <c:grouping val="clustered"/>
        <c:varyColors val="0"/>
        <c:ser>
          <c:idx val="0"/>
          <c:order val="0"/>
          <c:tx>
            <c:v>細田地区</c:v>
          </c:tx>
          <c:spPr>
            <a:solidFill>
              <a:srgbClr val="FF0000"/>
            </a:solidFill>
            <a:ln w="9525" cap="flat">
              <a:solidFill>
                <a:srgbClr val="000000"/>
              </a:solidFill>
              <a:prstDash val="solid"/>
              <a:round/>
            </a:ln>
            <a:effectLst/>
          </c:spPr>
          <c:invertIfNegative val="0"/>
          <c:dLbls>
            <c:numFmt formatCode="0.0%" sourceLinked="0"/>
            <c:txPr>
              <a:bodyPr/>
              <a:lstStyle/>
              <a:p>
                <a:pPr>
                  <a:defRPr b="0" i="0" strike="noStrike" sz="1200" u="none">
                    <a:solidFill>
                      <a:srgbClr val="000000"/>
                    </a:solidFill>
                    <a:latin typeface="HG丸ｺﾞｼｯｸM-PRO"/>
                  </a:defRPr>
                </a:pPr>
              </a:p>
            </c:txPr>
            <c:dLblPos val="outEnd"/>
            <c:showLegendKey val="0"/>
            <c:showVal val="0"/>
            <c:showCatName val="0"/>
            <c:showSerName val="0"/>
            <c:showPercent val="0"/>
            <c:showBubbleSize val="0"/>
            <c:showLeaderLines val="0"/>
          </c:dLbls>
          <c:cat>
            <c:strLit>
              <c:ptCount val="19"/>
              <c:pt idx="0">
                <c:v>農・林業</c:v>
              </c:pt>
              <c:pt idx="1">
                <c:v>漁業</c:v>
              </c:pt>
              <c:pt idx="2">
                <c:v>鉱業・採石業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学術研究・専門・技術サービス業</c:v>
              </c:pt>
              <c:pt idx="12">
                <c:v>宿泊業・飲食サービス業</c:v>
              </c:pt>
              <c:pt idx="13">
                <c:v>生活関連サービス業・娯楽業</c:v>
              </c:pt>
              <c:pt idx="14">
                <c:v>教育・学習支援業</c:v>
              </c:pt>
              <c:pt idx="15">
                <c:v>医療・福祉</c:v>
              </c:pt>
              <c:pt idx="16">
                <c:v>複合サービス事業</c:v>
              </c:pt>
              <c:pt idx="17">
                <c:v>その他サービス業</c:v>
              </c:pt>
              <c:pt idx="18">
                <c:v>公務</c:v>
              </c:pt>
            </c:strLit>
          </c:cat>
          <c:val>
            <c:numLit>
              <c:ptCount val="19"/>
              <c:pt idx="0">
                <c:v>0.228045</c:v>
              </c:pt>
              <c:pt idx="1">
                <c:v>0.024079</c:v>
              </c:pt>
              <c:pt idx="2">
                <c:v>0.000708</c:v>
              </c:pt>
              <c:pt idx="3">
                <c:v>0.066572</c:v>
              </c:pt>
              <c:pt idx="4">
                <c:v>0.112606</c:v>
              </c:pt>
              <c:pt idx="5">
                <c:v>0.002833</c:v>
              </c:pt>
              <c:pt idx="6">
                <c:v>0.001416</c:v>
              </c:pt>
              <c:pt idx="7">
                <c:v>0.044618</c:v>
              </c:pt>
              <c:pt idx="8">
                <c:v>0.124646</c:v>
              </c:pt>
              <c:pt idx="9">
                <c:v>0.009915</c:v>
              </c:pt>
              <c:pt idx="10">
                <c:v>0.006374</c:v>
              </c:pt>
              <c:pt idx="11">
                <c:v>0.015581</c:v>
              </c:pt>
              <c:pt idx="12">
                <c:v>0.036827</c:v>
              </c:pt>
              <c:pt idx="13">
                <c:v>0.029037</c:v>
              </c:pt>
              <c:pt idx="14">
                <c:v>0.020538</c:v>
              </c:pt>
              <c:pt idx="15">
                <c:v>0.146601</c:v>
              </c:pt>
              <c:pt idx="16">
                <c:v>0.020538</c:v>
              </c:pt>
              <c:pt idx="17">
                <c:v>0.062323</c:v>
              </c:pt>
              <c:pt idx="18">
                <c:v>0.023371</c:v>
              </c:pt>
            </c:numLit>
          </c:val>
        </c:ser>
        <c:ser>
          <c:idx val="1"/>
          <c:order val="1"/>
          <c:tx>
            <c:v>日南市平均</c:v>
          </c:tx>
          <c:spPr>
            <a:blipFill rotWithShape="1">
              <a:blip r:embed="rId1"/>
              <a:srcRect l="0" t="0" r="0" b="0"/>
              <a:tile tx="0" ty="0" sx="100000" sy="100000" flip="none" algn="tl"/>
            </a:blipFill>
            <a:ln w="9525" cap="flat">
              <a:solidFill>
                <a:srgbClr val="000000"/>
              </a:solidFill>
              <a:prstDash val="solid"/>
              <a:round/>
            </a:ln>
            <a:effectLst/>
          </c:spPr>
          <c:invertIfNegative val="0"/>
          <c:dLbls>
            <c:numFmt formatCode="0.0%" sourceLinked="0"/>
            <c:txPr>
              <a:bodyPr/>
              <a:lstStyle/>
              <a:p>
                <a:pPr>
                  <a:defRPr b="0" i="0" strike="noStrike" sz="1200" u="none">
                    <a:solidFill>
                      <a:srgbClr val="000000"/>
                    </a:solidFill>
                    <a:latin typeface="HG丸ｺﾞｼｯｸM-PRO"/>
                  </a:defRPr>
                </a:pPr>
              </a:p>
            </c:txPr>
            <c:dLblPos val="outEnd"/>
            <c:showLegendKey val="0"/>
            <c:showVal val="0"/>
            <c:showCatName val="0"/>
            <c:showSerName val="0"/>
            <c:showPercent val="0"/>
            <c:showBubbleSize val="0"/>
            <c:showLeaderLines val="0"/>
          </c:dLbls>
          <c:cat>
            <c:strLit>
              <c:ptCount val="19"/>
              <c:pt idx="0">
                <c:v>農・林業</c:v>
              </c:pt>
              <c:pt idx="1">
                <c:v>漁業</c:v>
              </c:pt>
              <c:pt idx="2">
                <c:v>鉱業・採石業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学術研究・専門・技術サービス業</c:v>
              </c:pt>
              <c:pt idx="12">
                <c:v>宿泊業・飲食サービス業</c:v>
              </c:pt>
              <c:pt idx="13">
                <c:v>生活関連サービス業・娯楽業</c:v>
              </c:pt>
              <c:pt idx="14">
                <c:v>教育・学習支援業</c:v>
              </c:pt>
              <c:pt idx="15">
                <c:v>医療・福祉</c:v>
              </c:pt>
              <c:pt idx="16">
                <c:v>複合サービス事業</c:v>
              </c:pt>
              <c:pt idx="17">
                <c:v>その他サービス業</c:v>
              </c:pt>
              <c:pt idx="18">
                <c:v>公務</c:v>
              </c:pt>
            </c:strLit>
          </c:cat>
          <c:val>
            <c:numLit>
              <c:ptCount val="19"/>
              <c:pt idx="0">
                <c:v>0.093481</c:v>
              </c:pt>
              <c:pt idx="1">
                <c:v>0.022911</c:v>
              </c:pt>
              <c:pt idx="2">
                <c:v>0.000262</c:v>
              </c:pt>
              <c:pt idx="3">
                <c:v>0.071051</c:v>
              </c:pt>
              <c:pt idx="4">
                <c:v>0.130821</c:v>
              </c:pt>
              <c:pt idx="5">
                <c:v>0.005291</c:v>
              </c:pt>
              <c:pt idx="6">
                <c:v>0.005465</c:v>
              </c:pt>
              <c:pt idx="7">
                <c:v>0.061563</c:v>
              </c:pt>
              <c:pt idx="8">
                <c:v>0.130690</c:v>
              </c:pt>
              <c:pt idx="9">
                <c:v>0.018233</c:v>
              </c:pt>
              <c:pt idx="10">
                <c:v>0.007520</c:v>
              </c:pt>
              <c:pt idx="11">
                <c:v>0.018451</c:v>
              </c:pt>
              <c:pt idx="12">
                <c:v>0.051331</c:v>
              </c:pt>
              <c:pt idx="13">
                <c:v>0.033361</c:v>
              </c:pt>
              <c:pt idx="14">
                <c:v>0.045778</c:v>
              </c:pt>
              <c:pt idx="15">
                <c:v>0.183814</c:v>
              </c:pt>
              <c:pt idx="16">
                <c:v>0.018976</c:v>
              </c:pt>
              <c:pt idx="17">
                <c:v>0.056578</c:v>
              </c:pt>
              <c:pt idx="18">
                <c:v>0.041581</c:v>
              </c:pt>
            </c:numLit>
          </c:val>
        </c:ser>
        <c:ser>
          <c:idx val="2"/>
          <c:order val="2"/>
          <c:tx>
            <c:v>県平均</c:v>
          </c:tx>
          <c:spPr>
            <a:blipFill rotWithShape="1">
              <a:blip r:embed="rId2"/>
              <a:srcRect l="0" t="0" r="0" b="0"/>
              <a:tile tx="0" ty="0" sx="100000" sy="100000" flip="none" algn="tl"/>
            </a:blipFill>
            <a:ln w="9525" cap="flat">
              <a:solidFill>
                <a:srgbClr val="000000"/>
              </a:solidFill>
              <a:prstDash val="solid"/>
              <a:round/>
            </a:ln>
            <a:effectLst/>
          </c:spPr>
          <c:invertIfNegative val="0"/>
          <c:dLbls>
            <c:numFmt formatCode="0.0%" sourceLinked="0"/>
            <c:txPr>
              <a:bodyPr/>
              <a:lstStyle/>
              <a:p>
                <a:pPr>
                  <a:defRPr b="0" i="0" strike="noStrike" sz="1200" u="none">
                    <a:solidFill>
                      <a:srgbClr val="000000"/>
                    </a:solidFill>
                    <a:latin typeface="HG丸ｺﾞｼｯｸM-PRO"/>
                  </a:defRPr>
                </a:pPr>
              </a:p>
            </c:txPr>
            <c:dLblPos val="outEnd"/>
            <c:showLegendKey val="0"/>
            <c:showVal val="0"/>
            <c:showCatName val="0"/>
            <c:showSerName val="0"/>
            <c:showPercent val="0"/>
            <c:showBubbleSize val="0"/>
            <c:showLeaderLines val="0"/>
          </c:dLbls>
          <c:cat>
            <c:strLit>
              <c:ptCount val="19"/>
              <c:pt idx="0">
                <c:v>農・林業</c:v>
              </c:pt>
              <c:pt idx="1">
                <c:v>漁業</c:v>
              </c:pt>
              <c:pt idx="2">
                <c:v>鉱業・採石業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学術研究・専門・技術サービス業</c:v>
              </c:pt>
              <c:pt idx="12">
                <c:v>宿泊業・飲食サービス業</c:v>
              </c:pt>
              <c:pt idx="13">
                <c:v>生活関連サービス業・娯楽業</c:v>
              </c:pt>
              <c:pt idx="14">
                <c:v>教育・学習支援業</c:v>
              </c:pt>
              <c:pt idx="15">
                <c:v>医療・福祉</c:v>
              </c:pt>
              <c:pt idx="16">
                <c:v>複合サービス事業</c:v>
              </c:pt>
              <c:pt idx="17">
                <c:v>その他サービス業</c:v>
              </c:pt>
              <c:pt idx="18">
                <c:v>公務</c:v>
              </c:pt>
            </c:strLit>
          </c:cat>
          <c:val>
            <c:numLit>
              <c:ptCount val="19"/>
              <c:pt idx="0">
                <c:v>0.093465</c:v>
              </c:pt>
              <c:pt idx="1">
                <c:v>0.005163</c:v>
              </c:pt>
              <c:pt idx="2">
                <c:v>0.000239</c:v>
              </c:pt>
              <c:pt idx="3">
                <c:v>0.083629</c:v>
              </c:pt>
              <c:pt idx="4">
                <c:v>0.119799</c:v>
              </c:pt>
              <c:pt idx="5">
                <c:v>0.004597</c:v>
              </c:pt>
              <c:pt idx="6">
                <c:v>0.012916</c:v>
              </c:pt>
              <c:pt idx="7">
                <c:v>0.039411</c:v>
              </c:pt>
              <c:pt idx="8">
                <c:v>0.145843</c:v>
              </c:pt>
              <c:pt idx="9">
                <c:v>0.019501</c:v>
              </c:pt>
              <c:pt idx="10">
                <c:v>0.012746</c:v>
              </c:pt>
              <c:pt idx="11">
                <c:v>0.024278</c:v>
              </c:pt>
              <c:pt idx="12">
                <c:v>0.050175</c:v>
              </c:pt>
              <c:pt idx="13">
                <c:v>0.034094</c:v>
              </c:pt>
              <c:pt idx="14">
                <c:v>0.051124</c:v>
              </c:pt>
              <c:pt idx="15">
                <c:v>0.166868</c:v>
              </c:pt>
              <c:pt idx="16">
                <c:v>0.012473</c:v>
              </c:pt>
              <c:pt idx="17">
                <c:v>0.057305</c:v>
              </c:pt>
              <c:pt idx="18">
                <c:v>0.046970</c:v>
              </c:pt>
            </c:numLit>
          </c:val>
        </c:ser>
        <c:gapWidth val="150"/>
        <c:overlap val="0"/>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100" u="none">
                <a:solidFill>
                  <a:srgbClr val="595959"/>
                </a:solidFill>
                <a:latin typeface="HG丸ｺﾞｼｯｸM-PRO"/>
              </a:defRPr>
            </a:pPr>
          </a:p>
        </c:txPr>
        <c:crossAx val="2094734553"/>
        <c:crosses val="autoZero"/>
        <c:auto val="1"/>
        <c:lblAlgn val="ctr"/>
        <c:noMultiLvlLbl val="1"/>
      </c:catAx>
      <c:valAx>
        <c:axId val="2094734553"/>
        <c:scaling>
          <c:orientation val="minMax"/>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200" u="none">
                <a:solidFill>
                  <a:srgbClr val="595959"/>
                </a:solidFill>
                <a:latin typeface="HG丸ｺﾞｼｯｸM-PRO"/>
              </a:defRPr>
            </a:pPr>
          </a:p>
        </c:txPr>
        <c:crossAx val="2094734552"/>
        <c:crosses val="autoZero"/>
        <c:crossBetween val="between"/>
        <c:majorUnit val="0.075"/>
        <c:minorUnit val="0.0375"/>
      </c:valAx>
      <c:spPr>
        <a:noFill/>
        <a:ln w="12700" cap="flat">
          <a:noFill/>
          <a:miter lim="400000"/>
        </a:ln>
        <a:effectLst/>
      </c:spPr>
    </c:plotArea>
    <c:legend>
      <c:legendPos val="r"/>
      <c:layout>
        <c:manualLayout>
          <c:xMode val="edge"/>
          <c:yMode val="edge"/>
          <c:x val="0.551107"/>
          <c:y val="0.0598112"/>
          <c:w val="0.309378"/>
          <c:h val="0.127868"/>
        </c:manualLayout>
      </c:layout>
      <c:overlay val="1"/>
      <c:spPr>
        <a:noFill/>
        <a:ln w="12700" cap="flat">
          <a:noFill/>
          <a:miter lim="400000"/>
        </a:ln>
        <a:effectLst/>
      </c:spPr>
      <c:txPr>
        <a:bodyPr rot="0"/>
        <a:lstStyle/>
        <a:p>
          <a:pPr>
            <a:defRPr b="0" i="0" strike="noStrike" sz="1400" u="none">
              <a:solidFill>
                <a:srgbClr val="595959"/>
              </a:solidFill>
              <a:latin typeface="HG丸ｺﾞｼｯｸM-PRO"/>
            </a:defRPr>
          </a:pPr>
        </a:p>
      </c:txPr>
    </c:legend>
    <c:plotVisOnly val="1"/>
    <c:dispBlanksAs val="gap"/>
  </c:chart>
  <c:spPr>
    <a:solidFill>
      <a:srgbClr val="FFFFFF"/>
    </a:solidFill>
    <a:ln w="12700" cap="flat">
      <a:solidFill>
        <a:srgbClr val="000000"/>
      </a:solidFill>
      <a:prstDash val="solid"/>
      <a:round/>
    </a:ln>
    <a:effectLst/>
  </c:spPr>
</c:chartSpace>
</file>

<file path=xl/charts/chart29.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600" u="none">
                <a:solidFill>
                  <a:srgbClr val="595959"/>
                </a:solidFill>
                <a:latin typeface="HG丸ｺﾞｼｯｸM-PRO"/>
              </a:defRPr>
            </a:pPr>
            <a:r>
              <a:rPr b="0" i="0" strike="noStrike" sz="1600" u="none">
                <a:solidFill>
                  <a:srgbClr val="595959"/>
                </a:solidFill>
                <a:latin typeface="HG丸ｺﾞｼｯｸM-PRO"/>
              </a:rPr>
              <a:t>自市町村内を通勤先とする割合</a:t>
            </a:r>
          </a:p>
        </c:rich>
      </c:tx>
      <c:layout>
        <c:manualLayout>
          <c:xMode val="edge"/>
          <c:yMode val="edge"/>
          <c:x val="0.392504"/>
          <c:y val="0"/>
          <c:w val="0.214991"/>
          <c:h val="0.096426"/>
        </c:manualLayout>
      </c:layout>
      <c:overlay val="1"/>
      <c:spPr>
        <a:noFill/>
        <a:effectLst/>
      </c:spPr>
    </c:title>
    <c:autoTitleDeleted val="1"/>
    <c:plotArea>
      <c:layout>
        <c:manualLayout>
          <c:layoutTarget val="inner"/>
          <c:xMode val="edge"/>
          <c:yMode val="edge"/>
          <c:x val="0.144621"/>
          <c:y val="0.096426"/>
          <c:w val="0.799361"/>
          <c:h val="0.82679"/>
        </c:manualLayout>
      </c:layout>
      <c:barChart>
        <c:barDir val="bar"/>
        <c:grouping val="clustered"/>
        <c:varyColors val="0"/>
        <c:ser>
          <c:idx val="0"/>
          <c:order val="0"/>
          <c:tx>
            <c:v/>
          </c:tx>
          <c:spPr>
            <a:solidFill>
              <a:srgbClr val="FF0000"/>
            </a:solidFill>
            <a:ln w="9525" cap="flat">
              <a:solidFill>
                <a:srgbClr val="000000"/>
              </a:solidFill>
              <a:prstDash val="solid"/>
              <a:round/>
            </a:ln>
            <a:effectLst/>
          </c:spPr>
          <c:invertIfNegative val="0"/>
          <c:dPt>
            <c:idx val="0"/>
            <c:spPr>
              <a:solidFill>
                <a:srgbClr val="FF0000"/>
              </a:solidFill>
              <a:ln w="9525" cap="flat">
                <a:solidFill>
                  <a:srgbClr val="000000"/>
                </a:solidFill>
                <a:prstDash val="solid"/>
                <a:round/>
              </a:ln>
              <a:effectLst/>
            </c:spPr>
          </c:dPt>
          <c:dPt>
            <c:idx val="1"/>
            <c:spPr>
              <a:solidFill>
                <a:srgbClr val="00B0F0"/>
              </a:solidFill>
              <a:ln w="9525" cap="flat">
                <a:solidFill>
                  <a:srgbClr val="000000"/>
                </a:solidFill>
                <a:prstDash val="solid"/>
                <a:round/>
              </a:ln>
              <a:effectLst/>
            </c:spPr>
          </c:dPt>
          <c:dPt>
            <c:idx val="2"/>
            <c:spPr>
              <a:solidFill>
                <a:schemeClr val="accent4"/>
              </a:solidFill>
              <a:ln w="9525" cap="flat">
                <a:solidFill>
                  <a:srgbClr val="000000"/>
                </a:solidFill>
                <a:prstDash val="solid"/>
                <a:round/>
              </a:ln>
              <a:effectLst/>
            </c:spPr>
          </c:dPt>
          <c:dLbls>
            <c:dLbl>
              <c:idx val="0"/>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1"/>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2"/>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numFmt formatCode="0.0%" sourceLinked="0"/>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3"/>
              <c:pt idx="0">
                <c:v>細田地区</c:v>
              </c:pt>
              <c:pt idx="1">
                <c:v>日南市平均</c:v>
              </c:pt>
              <c:pt idx="2">
                <c:v>県平均</c:v>
              </c:pt>
            </c:strLit>
          </c:cat>
          <c:val>
            <c:numLit>
              <c:ptCount val="3"/>
              <c:pt idx="0">
                <c:v>0.910057</c:v>
              </c:pt>
              <c:pt idx="1">
                <c:v>0.899611</c:v>
              </c:pt>
              <c:pt idx="2">
                <c:v>0.827472</c:v>
              </c:pt>
            </c:numLit>
          </c:val>
        </c:ser>
        <c:gapWidth val="100"/>
        <c:overlap val="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D9D9D9"/>
            </a:solidFill>
            <a:prstDash val="solid"/>
            <a:round/>
          </a:ln>
        </c:spPr>
        <c:txPr>
          <a:bodyPr rot="0"/>
          <a:lstStyle/>
          <a:p>
            <a:pPr>
              <a:defRPr b="0" i="0" strike="noStrike" sz="1400" u="none">
                <a:solidFill>
                  <a:srgbClr val="595959"/>
                </a:solidFill>
                <a:latin typeface="HG丸ｺﾞｼｯｸM-PRO"/>
              </a:defRPr>
            </a:pPr>
          </a:p>
        </c:txPr>
        <c:crossAx val="2094734553"/>
        <c:crosses val="autoZero"/>
        <c:auto val="1"/>
        <c:lblAlgn val="ctr"/>
        <c:noMultiLvlLbl val="1"/>
      </c:catAx>
      <c:valAx>
        <c:axId val="2094734553"/>
        <c:scaling>
          <c:orientation val="minMax"/>
          <c:min val="0"/>
        </c:scaling>
        <c:delete val="0"/>
        <c:axPos val="b"/>
        <c:majorGridlines>
          <c:spPr>
            <a:ln w="12700" cap="flat">
              <a:solidFill>
                <a:srgbClr val="D9D9D9"/>
              </a:solidFill>
              <a:prstDash val="solid"/>
              <a:round/>
            </a:ln>
          </c:spPr>
        </c:majorGridlines>
        <c:numFmt formatCode="General" sourceLinked="1"/>
        <c:majorTickMark val="none"/>
        <c:minorTickMark val="none"/>
        <c:tickLblPos val="high"/>
        <c:spPr>
          <a:ln w="12700" cap="flat">
            <a:noFill/>
            <a:prstDash val="solid"/>
            <a:round/>
          </a:ln>
        </c:spPr>
        <c:txPr>
          <a:bodyPr rot="0"/>
          <a:lstStyle/>
          <a:p>
            <a:pPr>
              <a:defRPr b="0" i="0" strike="noStrike" sz="1400" u="none">
                <a:solidFill>
                  <a:srgbClr val="595959"/>
                </a:solidFill>
                <a:latin typeface="HG丸ｺﾞｼｯｸM-PRO"/>
              </a:defRPr>
            </a:pPr>
          </a:p>
        </c:txPr>
        <c:crossAx val="2094734552"/>
        <c:crosses val="autoZero"/>
        <c:crossBetween val="between"/>
        <c:majorUnit val="0.23"/>
        <c:minorUnit val="0.115"/>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800" u="none">
                <a:solidFill>
                  <a:srgbClr val="595959"/>
                </a:solidFill>
                <a:latin typeface="HG丸ｺﾞｼｯｸM-PRO"/>
              </a:defRPr>
            </a:pPr>
            <a:r>
              <a:rPr b="0" i="0" strike="noStrike" sz="1800" u="none">
                <a:solidFill>
                  <a:srgbClr val="595959"/>
                </a:solidFill>
                <a:latin typeface="HG丸ｺﾞｼｯｸM-PRO"/>
              </a:rPr>
              <a:t>６５歳以上の割合の推移グラフ</a:t>
            </a:r>
          </a:p>
        </c:rich>
      </c:tx>
      <c:layout>
        <c:manualLayout>
          <c:xMode val="edge"/>
          <c:yMode val="edge"/>
          <c:x val="0.353367"/>
          <c:y val="0"/>
          <c:w val="0.293265"/>
          <c:h val="0.16736"/>
        </c:manualLayout>
      </c:layout>
      <c:overlay val="1"/>
      <c:spPr>
        <a:noFill/>
        <a:effectLst/>
      </c:spPr>
    </c:title>
    <c:autoTitleDeleted val="1"/>
    <c:plotArea>
      <c:layout>
        <c:manualLayout>
          <c:layoutTarget val="inner"/>
          <c:xMode val="edge"/>
          <c:yMode val="edge"/>
          <c:x val="0.0526647"/>
          <c:y val="0.16736"/>
          <c:w val="0.942335"/>
          <c:h val="0.723384"/>
        </c:manualLayout>
      </c:layout>
      <c:barChart>
        <c:barDir val="col"/>
        <c:grouping val="clustered"/>
        <c:varyColors val="0"/>
        <c:ser>
          <c:idx val="0"/>
          <c:order val="0"/>
          <c:tx>
            <c:v>Series1</c:v>
          </c:tx>
          <c:spPr>
            <a:solidFill>
              <a:srgbClr val="0070C0"/>
            </a:solidFill>
            <a:ln w="9525" cap="flat">
              <a:solidFill>
                <a:srgbClr val="0070C0"/>
              </a:solidFill>
              <a:prstDash val="solid"/>
              <a:round/>
            </a:ln>
            <a:effectLst/>
          </c:spPr>
          <c:invertIfNegative val="0"/>
          <c:dLbls>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3"/>
              <c:pt idx="0">
                <c:v>2010</c:v>
              </c:pt>
              <c:pt idx="1">
                <c:v>2015</c:v>
              </c:pt>
              <c:pt idx="2">
                <c:v>2020</c:v>
              </c:pt>
            </c:strLit>
          </c:cat>
          <c:val>
            <c:numLit>
              <c:ptCount val="3"/>
              <c:pt idx="0">
                <c:v>0.390000</c:v>
              </c:pt>
              <c:pt idx="1">
                <c:v>0.440000</c:v>
              </c:pt>
              <c:pt idx="2">
                <c:v>0.500000</c:v>
              </c:pt>
            </c:numLit>
          </c:val>
        </c:ser>
        <c:gapWidth val="219"/>
        <c:overlap val="-27"/>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ax val="1"/>
          <c:min val="0"/>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200" u="none">
                <a:solidFill>
                  <a:srgbClr val="595959"/>
                </a:solidFill>
                <a:latin typeface="HG丸ｺﾞｼｯｸM-PRO"/>
              </a:defRPr>
            </a:pPr>
          </a:p>
        </c:txPr>
        <c:crossAx val="2094734552"/>
        <c:crosses val="autoZero"/>
        <c:crossBetween val="between"/>
        <c:majorUnit val="0.2"/>
        <c:minorUnit val="0.1"/>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800" u="none">
                <a:solidFill>
                  <a:srgbClr val="595959"/>
                </a:solidFill>
                <a:latin typeface="HG丸ｺﾞｼｯｸM-PRO"/>
              </a:defRPr>
            </a:pPr>
            <a:r>
              <a:rPr b="0" i="0" strike="noStrike" sz="1800" u="none">
                <a:solidFill>
                  <a:srgbClr val="595959"/>
                </a:solidFill>
                <a:latin typeface="HG丸ｺﾞｼｯｸM-PRO"/>
              </a:rPr>
              <a:t>７５歳以上の割合の推移グラフ</a:t>
            </a:r>
          </a:p>
        </c:rich>
      </c:tx>
      <c:layout>
        <c:manualLayout>
          <c:xMode val="edge"/>
          <c:yMode val="edge"/>
          <c:x val="0.353367"/>
          <c:y val="0"/>
          <c:w val="0.293265"/>
          <c:h val="0.167361"/>
        </c:manualLayout>
      </c:layout>
      <c:overlay val="1"/>
      <c:spPr>
        <a:noFill/>
        <a:effectLst/>
      </c:spPr>
    </c:title>
    <c:autoTitleDeleted val="1"/>
    <c:plotArea>
      <c:layout>
        <c:manualLayout>
          <c:layoutTarget val="inner"/>
          <c:xMode val="edge"/>
          <c:yMode val="edge"/>
          <c:x val="0.0526647"/>
          <c:y val="0.167361"/>
          <c:w val="0.942335"/>
          <c:h val="0.723384"/>
        </c:manualLayout>
      </c:layout>
      <c:barChart>
        <c:barDir val="col"/>
        <c:grouping val="clustered"/>
        <c:varyColors val="0"/>
        <c:ser>
          <c:idx val="0"/>
          <c:order val="0"/>
          <c:tx>
            <c:v>Series1</c:v>
          </c:tx>
          <c:spPr>
            <a:solidFill>
              <a:srgbClr val="0070C0"/>
            </a:solidFill>
            <a:ln w="9525" cap="flat">
              <a:solidFill>
                <a:srgbClr val="0070C0"/>
              </a:solidFill>
              <a:prstDash val="solid"/>
              <a:round/>
            </a:ln>
            <a:effectLst/>
          </c:spPr>
          <c:invertIfNegative val="0"/>
          <c:dLbls>
            <c:numFmt formatCode="0%" sourceLinked="0"/>
            <c:txPr>
              <a:bodyPr/>
              <a:lstStyle/>
              <a:p>
                <a:pPr>
                  <a:defRPr b="0" i="0" strike="noStrike" sz="16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3"/>
              <c:pt idx="0">
                <c:v>2010</c:v>
              </c:pt>
              <c:pt idx="1">
                <c:v>2015</c:v>
              </c:pt>
              <c:pt idx="2">
                <c:v>2020</c:v>
              </c:pt>
            </c:strLit>
          </c:cat>
          <c:val>
            <c:numLit>
              <c:ptCount val="3"/>
              <c:pt idx="0">
                <c:v>0.220000</c:v>
              </c:pt>
              <c:pt idx="1">
                <c:v>0.250000</c:v>
              </c:pt>
              <c:pt idx="2">
                <c:v>0.280000</c:v>
              </c:pt>
            </c:numLit>
          </c:val>
        </c:ser>
        <c:gapWidth val="219"/>
        <c:overlap val="-27"/>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ax val="1"/>
          <c:min val="0"/>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200" u="none">
                <a:solidFill>
                  <a:srgbClr val="595959"/>
                </a:solidFill>
                <a:latin typeface="HG丸ｺﾞｼｯｸM-PRO"/>
              </a:defRPr>
            </a:pPr>
          </a:p>
        </c:txPr>
        <c:crossAx val="2094734552"/>
        <c:crosses val="autoZero"/>
        <c:crossBetween val="between"/>
        <c:majorUnit val="0.2"/>
        <c:minorUnit val="0.1"/>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5.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600" u="none">
                <a:solidFill>
                  <a:srgbClr val="595959"/>
                </a:solidFill>
                <a:latin typeface="HG丸ｺﾞｼｯｸM-PRO"/>
              </a:defRPr>
            </a:pPr>
            <a:r>
              <a:rPr b="0" i="0" strike="noStrike" sz="1600" u="none">
                <a:solidFill>
                  <a:srgbClr val="595959"/>
                </a:solidFill>
                <a:latin typeface="HG丸ｺﾞｼｯｸM-PRO"/>
              </a:rPr>
              <a:t>人口ピラミッド</a:t>
            </a:r>
          </a:p>
        </c:rich>
      </c:tx>
      <c:layout>
        <c:manualLayout>
          <c:xMode val="edge"/>
          <c:yMode val="edge"/>
          <c:x val="0.438895"/>
          <c:y val="0"/>
          <c:w val="0.12221"/>
          <c:h val="0.0581897"/>
        </c:manualLayout>
      </c:layout>
      <c:overlay val="1"/>
      <c:spPr>
        <a:noFill/>
        <a:effectLst/>
      </c:spPr>
    </c:title>
    <c:autoTitleDeleted val="1"/>
    <c:plotArea>
      <c:layout>
        <c:manualLayout>
          <c:layoutTarget val="inner"/>
          <c:xMode val="edge"/>
          <c:yMode val="edge"/>
          <c:x val="0.11797"/>
          <c:y val="0.0581897"/>
          <c:w val="0.865371"/>
          <c:h val="0.896202"/>
        </c:manualLayout>
      </c:layout>
      <c:barChart>
        <c:barDir val="bar"/>
        <c:grouping val="clustered"/>
        <c:varyColors val="0"/>
        <c:ser>
          <c:idx val="0"/>
          <c:order val="0"/>
          <c:tx>
            <c:v>男性</c:v>
          </c:tx>
          <c:spPr>
            <a:solidFill>
              <a:srgbClr val="00B050"/>
            </a:solidFill>
            <a:ln w="9525" cap="flat">
              <a:solidFill>
                <a:srgbClr val="000000"/>
              </a:solidFill>
              <a:prstDash val="solid"/>
              <a:round/>
            </a:ln>
            <a:effectLst/>
          </c:spPr>
          <c:invertIfNegative val="0"/>
          <c:dLbls>
            <c:numFmt formatCode="#,##0" sourceLinked="1"/>
            <c:txPr>
              <a:bodyPr/>
              <a:lstStyle/>
              <a:p>
                <a:pPr>
                  <a:defRPr b="0" i="0" strike="noStrike" sz="10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Lit>
          </c:cat>
          <c:val>
            <c:numLit>
              <c:ptCount val="21"/>
              <c:pt idx="0">
                <c:v>0.000000</c:v>
              </c:pt>
              <c:pt idx="1">
                <c:v>5.000000</c:v>
              </c:pt>
              <c:pt idx="2">
                <c:v>16.000000</c:v>
              </c:pt>
              <c:pt idx="3">
                <c:v>51.000000</c:v>
              </c:pt>
              <c:pt idx="4">
                <c:v>104.000000</c:v>
              </c:pt>
              <c:pt idx="5">
                <c:v>156.000000</c:v>
              </c:pt>
              <c:pt idx="6">
                <c:v>182.000000</c:v>
              </c:pt>
              <c:pt idx="7">
                <c:v>150.000000</c:v>
              </c:pt>
              <c:pt idx="8">
                <c:v>206.000000</c:v>
              </c:pt>
              <c:pt idx="9">
                <c:v>167.000000</c:v>
              </c:pt>
              <c:pt idx="10">
                <c:v>160.000000</c:v>
              </c:pt>
              <c:pt idx="11">
                <c:v>80.000000</c:v>
              </c:pt>
              <c:pt idx="12">
                <c:v>72.000000</c:v>
              </c:pt>
              <c:pt idx="13">
                <c:v>77.000000</c:v>
              </c:pt>
              <c:pt idx="14">
                <c:v>76.000000</c:v>
              </c:pt>
              <c:pt idx="15">
                <c:v>68.000000</c:v>
              </c:pt>
              <c:pt idx="16">
                <c:v>98.000000</c:v>
              </c:pt>
              <c:pt idx="17">
                <c:v>92.000000</c:v>
              </c:pt>
              <c:pt idx="18">
                <c:v>57.000000</c:v>
              </c:pt>
              <c:pt idx="19">
                <c:v>44.000000</c:v>
              </c:pt>
              <c:pt idx="20">
                <c:v>48.000000</c:v>
              </c:pt>
            </c:numLit>
          </c:val>
        </c:ser>
        <c:ser>
          <c:idx val="1"/>
          <c:order val="1"/>
          <c:tx>
            <c:v>女性</c:v>
          </c:tx>
          <c:spPr>
            <a:solidFill>
              <a:srgbClr val="FF0000"/>
            </a:solidFill>
            <a:ln w="9525" cap="flat">
              <a:solidFill>
                <a:srgbClr val="000000"/>
              </a:solidFill>
              <a:prstDash val="solid"/>
              <a:round/>
            </a:ln>
            <a:effectLst/>
          </c:spPr>
          <c:invertIfNegative val="0"/>
          <c:dLbls>
            <c:numFmt formatCode="#,##0" sourceLinked="1"/>
            <c:txPr>
              <a:bodyPr/>
              <a:lstStyle/>
              <a:p>
                <a:pPr>
                  <a:defRPr b="0" i="0" strike="noStrike" sz="10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Lit>
          </c:cat>
          <c:val>
            <c:numLit>
              <c:ptCount val="21"/>
              <c:pt idx="0">
                <c:v>2.000000</c:v>
              </c:pt>
              <c:pt idx="1">
                <c:v>14.000000</c:v>
              </c:pt>
              <c:pt idx="2">
                <c:v>43.000000</c:v>
              </c:pt>
              <c:pt idx="3">
                <c:v>105.000000</c:v>
              </c:pt>
              <c:pt idx="4">
                <c:v>163.000000</c:v>
              </c:pt>
              <c:pt idx="5">
                <c:v>222.000000</c:v>
              </c:pt>
              <c:pt idx="6">
                <c:v>195.000000</c:v>
              </c:pt>
              <c:pt idx="7">
                <c:v>174.000000</c:v>
              </c:pt>
              <c:pt idx="8">
                <c:v>194.000000</c:v>
              </c:pt>
              <c:pt idx="9">
                <c:v>167.000000</c:v>
              </c:pt>
              <c:pt idx="10">
                <c:v>136.000000</c:v>
              </c:pt>
              <c:pt idx="11">
                <c:v>105.000000</c:v>
              </c:pt>
              <c:pt idx="12">
                <c:v>68.000000</c:v>
              </c:pt>
              <c:pt idx="13">
                <c:v>68.000000</c:v>
              </c:pt>
              <c:pt idx="14">
                <c:v>79.000000</c:v>
              </c:pt>
              <c:pt idx="15">
                <c:v>76.000000</c:v>
              </c:pt>
              <c:pt idx="16">
                <c:v>58.000000</c:v>
              </c:pt>
              <c:pt idx="17">
                <c:v>84.000000</c:v>
              </c:pt>
              <c:pt idx="18">
                <c:v>44.000000</c:v>
              </c:pt>
              <c:pt idx="19">
                <c:v>58.000000</c:v>
              </c:pt>
              <c:pt idx="20">
                <c:v>54.000000</c:v>
              </c:pt>
            </c:numLit>
          </c:val>
        </c:ser>
        <c:gapWidth val="0"/>
        <c:overlap val="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ax val="300"/>
          <c:min val="-450"/>
        </c:scaling>
        <c:delete val="0"/>
        <c:axPos val="b"/>
        <c:majorGridlines>
          <c:spPr>
            <a:ln w="12700" cap="flat">
              <a:solidFill>
                <a:srgbClr val="D9D9D9"/>
              </a:solidFill>
              <a:prstDash val="solid"/>
              <a:round/>
            </a:ln>
          </c:spPr>
        </c:majorGridlines>
        <c:numFmt formatCode="#,##0;&quot; &quot;" sourceLinked="0"/>
        <c:majorTickMark val="none"/>
        <c:minorTickMark val="none"/>
        <c:tickLblPos val="high"/>
        <c:spPr>
          <a:ln w="12700" cap="flat">
            <a:noFill/>
            <a:prstDash val="solid"/>
            <a:round/>
          </a:ln>
        </c:spPr>
        <c:txPr>
          <a:bodyPr rot="0"/>
          <a:lstStyle/>
          <a:p>
            <a:pPr>
              <a:defRPr b="0" i="0" strike="noStrike" sz="1100" u="none">
                <a:solidFill>
                  <a:srgbClr val="595959"/>
                </a:solidFill>
                <a:latin typeface="HG丸ｺﾞｼｯｸM-PRO"/>
              </a:defRPr>
            </a:pPr>
          </a:p>
        </c:txPr>
        <c:crossAx val="2094734552"/>
        <c:crosses val="min"/>
        <c:crossBetween val="between"/>
        <c:majorUnit val="150"/>
        <c:minorUnit val="75"/>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6.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800" u="none">
                <a:solidFill>
                  <a:srgbClr val="595959"/>
                </a:solidFill>
                <a:latin typeface="HG丸ｺﾞｼｯｸM-PRO"/>
              </a:defRPr>
            </a:pPr>
            <a:r>
              <a:rPr b="0" i="0" strike="noStrike" sz="1800" u="none">
                <a:solidFill>
                  <a:srgbClr val="595959"/>
                </a:solidFill>
                <a:latin typeface="HG丸ｺﾞｼｯｸM-PRO"/>
              </a:rPr>
              <a:t>総人口の推移グラフ</a:t>
            </a:r>
          </a:p>
        </c:rich>
      </c:tx>
      <c:layout>
        <c:manualLayout>
          <c:xMode val="edge"/>
          <c:yMode val="edge"/>
          <c:x val="0.38465"/>
          <c:y val="0"/>
          <c:w val="0.192476"/>
          <c:h val="0.102268"/>
        </c:manualLayout>
      </c:layout>
      <c:overlay val="1"/>
      <c:spPr>
        <a:noFill/>
        <a:effectLst/>
      </c:spPr>
    </c:title>
    <c:autoTitleDeleted val="1"/>
    <c:plotArea>
      <c:layout>
        <c:manualLayout>
          <c:layoutTarget val="inner"/>
          <c:xMode val="edge"/>
          <c:yMode val="edge"/>
          <c:x val="0.0900467"/>
          <c:y val="0.102268"/>
          <c:w val="0.87173"/>
          <c:h val="0.814751"/>
        </c:manualLayout>
      </c:layout>
      <c:barChart>
        <c:barDir val="col"/>
        <c:grouping val="stacked"/>
        <c:varyColors val="0"/>
        <c:ser>
          <c:idx val="0"/>
          <c:order val="0"/>
          <c:tx>
            <c:v>男性</c:v>
          </c:tx>
          <c:spPr>
            <a:blipFill rotWithShape="1">
              <a:blip r:embed="rId1"/>
              <a:srcRect l="0" t="0" r="0" b="0"/>
              <a:tile tx="0" ty="0" sx="100000" sy="100000" flip="none" algn="tl"/>
            </a:blipFill>
            <a:ln w="9525" cap="flat">
              <a:solidFill>
                <a:schemeClr val="accent5"/>
              </a:solidFill>
              <a:prstDash val="solid"/>
              <a:round/>
            </a:ln>
            <a:effectLst/>
          </c:spPr>
          <c:invertIfNegative val="0"/>
          <c:dLbls>
            <c:numFmt formatCode="#,##0" sourceLinked="1"/>
            <c:txPr>
              <a:bodyPr/>
              <a:lstStyle/>
              <a:p>
                <a:pPr>
                  <a:defRPr b="0" i="0" strike="noStrike" sz="1400" u="none">
                    <a:solidFill>
                      <a:srgbClr val="404040"/>
                    </a:solidFill>
                    <a:latin typeface="HG丸ｺﾞｼｯｸM-PRO"/>
                  </a:defRPr>
                </a:pPr>
              </a:p>
            </c:txPr>
            <c:dLblPos val="ctr"/>
            <c:showLegendKey val="0"/>
            <c:showVal val="1"/>
            <c:showCatName val="0"/>
            <c:showSerName val="0"/>
            <c:showPercent val="0"/>
            <c:showBubbleSize val="0"/>
            <c:showLeaderLines val="0"/>
          </c:dLbls>
          <c:cat>
            <c:strLit>
              <c:ptCount val="3"/>
              <c:pt idx="0">
                <c:v>2010</c:v>
              </c:pt>
              <c:pt idx="1">
                <c:v>2015</c:v>
              </c:pt>
              <c:pt idx="2">
                <c:v>2020</c:v>
              </c:pt>
            </c:strLit>
          </c:cat>
          <c:val>
            <c:numLit>
              <c:ptCount val="3"/>
              <c:pt idx="0">
                <c:v>1909.000000</c:v>
              </c:pt>
              <c:pt idx="1">
                <c:v>1680.000000</c:v>
              </c:pt>
              <c:pt idx="2">
                <c:v>1461.000000</c:v>
              </c:pt>
            </c:numLit>
          </c:val>
        </c:ser>
        <c:ser>
          <c:idx val="1"/>
          <c:order val="1"/>
          <c:tx>
            <c:v>女性</c:v>
          </c:tx>
          <c:spPr>
            <a:blipFill rotWithShape="1">
              <a:blip r:embed="rId2"/>
              <a:srcRect l="0" t="0" r="0" b="0"/>
              <a:tile tx="0" ty="0" sx="100000" sy="100000" flip="none" algn="tl"/>
            </a:blipFill>
            <a:ln w="9525" cap="flat">
              <a:solidFill>
                <a:srgbClr val="FF66FF"/>
              </a:solidFill>
              <a:prstDash val="solid"/>
              <a:round/>
            </a:ln>
            <a:effectLst/>
          </c:spPr>
          <c:invertIfNegative val="0"/>
          <c:dLbls>
            <c:numFmt formatCode="#,##0" sourceLinked="1"/>
            <c:txPr>
              <a:bodyPr/>
              <a:lstStyle/>
              <a:p>
                <a:pPr>
                  <a:defRPr b="0" i="0" strike="noStrike" sz="1400" u="none">
                    <a:solidFill>
                      <a:srgbClr val="404040"/>
                    </a:solidFill>
                    <a:latin typeface="HG丸ｺﾞｼｯｸM-PRO"/>
                  </a:defRPr>
                </a:pPr>
              </a:p>
            </c:txPr>
            <c:dLblPos val="ctr"/>
            <c:showLegendKey val="0"/>
            <c:showVal val="1"/>
            <c:showCatName val="0"/>
            <c:showSerName val="0"/>
            <c:showPercent val="0"/>
            <c:showBubbleSize val="0"/>
            <c:showLeaderLines val="0"/>
          </c:dLbls>
          <c:cat>
            <c:strLit>
              <c:ptCount val="3"/>
              <c:pt idx="0">
                <c:v>2010</c:v>
              </c:pt>
              <c:pt idx="1">
                <c:v>2015</c:v>
              </c:pt>
              <c:pt idx="2">
                <c:v>2020</c:v>
              </c:pt>
            </c:strLit>
          </c:cat>
          <c:val>
            <c:numLit>
              <c:ptCount val="3"/>
              <c:pt idx="0">
                <c:v>2109.000000</c:v>
              </c:pt>
              <c:pt idx="1">
                <c:v>1841.000000</c:v>
              </c:pt>
              <c:pt idx="2">
                <c:v>1583.000000</c:v>
              </c:pt>
            </c:numLit>
          </c:val>
        </c:ser>
        <c:ser>
          <c:idx val="2"/>
          <c:order val="2"/>
          <c:tx>
            <c:v>計</c:v>
          </c:tx>
          <c:spPr>
            <a:noFill/>
            <a:ln w="12700" cap="flat">
              <a:noFill/>
              <a:miter lim="400000"/>
            </a:ln>
            <a:effectLst/>
          </c:spPr>
          <c:invertIfNegative val="0"/>
          <c:dLbls>
            <c:numFmt formatCode="#,##0" sourceLinked="1"/>
            <c:txPr>
              <a:bodyPr/>
              <a:lstStyle/>
              <a:p>
                <a:pPr>
                  <a:defRPr b="0" i="0" strike="noStrike" sz="1600" u="none">
                    <a:solidFill>
                      <a:srgbClr val="404040"/>
                    </a:solidFill>
                    <a:latin typeface="HG丸ｺﾞｼｯｸM-PRO"/>
                  </a:defRPr>
                </a:pPr>
              </a:p>
            </c:txPr>
            <c:dLblPos val="inEnd"/>
            <c:showLegendKey val="0"/>
            <c:showVal val="1"/>
            <c:showCatName val="0"/>
            <c:showSerName val="0"/>
            <c:showPercent val="0"/>
            <c:showBubbleSize val="0"/>
            <c:showLeaderLines val="0"/>
          </c:dLbls>
          <c:cat>
            <c:strLit>
              <c:ptCount val="3"/>
              <c:pt idx="0">
                <c:v>2010</c:v>
              </c:pt>
              <c:pt idx="1">
                <c:v>2015</c:v>
              </c:pt>
              <c:pt idx="2">
                <c:v>2020</c:v>
              </c:pt>
            </c:strLit>
          </c:cat>
          <c:val>
            <c:numLit>
              <c:ptCount val="3"/>
              <c:pt idx="0">
                <c:v>4018.000000</c:v>
              </c:pt>
              <c:pt idx="1">
                <c:v>3521.000000</c:v>
              </c:pt>
              <c:pt idx="2">
                <c:v>3044.000000</c:v>
              </c:pt>
            </c:numLit>
          </c:val>
        </c:ser>
        <c:gapWidth val="219"/>
        <c:overlap val="100"/>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600" u="none">
                <a:solidFill>
                  <a:srgbClr val="595959"/>
                </a:solidFill>
                <a:latin typeface="HG丸ｺﾞｼｯｸM-PRO"/>
              </a:defRPr>
            </a:pPr>
          </a:p>
        </c:txPr>
        <c:crossAx val="2094734553"/>
        <c:crosses val="autoZero"/>
        <c:auto val="1"/>
        <c:lblAlgn val="ctr"/>
        <c:noMultiLvlLbl val="1"/>
      </c:catAx>
      <c:valAx>
        <c:axId val="2094734553"/>
        <c:scaling>
          <c:orientation val="minMax"/>
          <c:min val="0"/>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400" u="none">
                <a:solidFill>
                  <a:srgbClr val="595959"/>
                </a:solidFill>
                <a:latin typeface="HG丸ｺﾞｼｯｸM-PRO"/>
              </a:defRPr>
            </a:pPr>
          </a:p>
        </c:txPr>
        <c:crossAx val="2094734552"/>
        <c:crosses val="autoZero"/>
        <c:crossBetween val="between"/>
        <c:majorUnit val="2250"/>
        <c:minorUnit val="1125"/>
      </c:valAx>
      <c:spPr>
        <a:noFill/>
        <a:ln w="12700" cap="flat">
          <a:noFill/>
          <a:miter lim="400000"/>
        </a:ln>
        <a:effectLst/>
      </c:spPr>
    </c:plotArea>
    <c:legend>
      <c:legendPos val="t"/>
      <c:layout>
        <c:manualLayout>
          <c:xMode val="edge"/>
          <c:yMode val="edge"/>
          <c:x val="0.668773"/>
          <c:y val="0.0429498"/>
          <c:w val="0.331227"/>
          <c:h val="0.0636959"/>
        </c:manualLayout>
      </c:layout>
      <c:overlay val="1"/>
      <c:spPr>
        <a:noFill/>
        <a:ln w="12700" cap="flat">
          <a:noFill/>
          <a:miter lim="400000"/>
        </a:ln>
        <a:effectLst/>
      </c:spPr>
      <c:txPr>
        <a:bodyPr rot="0"/>
        <a:lstStyle/>
        <a:p>
          <a:pPr>
            <a:defRPr b="0" i="0" strike="noStrike" sz="1400" u="none">
              <a:solidFill>
                <a:srgbClr val="595959"/>
              </a:solidFill>
              <a:latin typeface="HG丸ｺﾞｼｯｸM-PRO"/>
            </a:defRPr>
          </a:pPr>
        </a:p>
      </c:txPr>
    </c:legend>
    <c:plotVisOnly val="1"/>
    <c:dispBlanksAs val="gap"/>
  </c:chart>
  <c:spPr>
    <a:solidFill>
      <a:srgbClr val="FFFFFF"/>
    </a:solidFill>
    <a:ln w="12700" cap="flat">
      <a:solidFill>
        <a:srgbClr val="000000"/>
      </a:solidFill>
      <a:prstDash val="solid"/>
      <a:round/>
    </a:ln>
    <a:effectLst/>
  </c:spPr>
</c:chartSpace>
</file>

<file path=xl/charts/chart7.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600" u="none">
                <a:solidFill>
                  <a:srgbClr val="595959"/>
                </a:solidFill>
                <a:latin typeface="HG丸ｺﾞｼｯｸM-PRO"/>
              </a:defRPr>
            </a:pPr>
            <a:r>
              <a:rPr b="0" i="0" strike="noStrike" sz="1600" u="none">
                <a:solidFill>
                  <a:srgbClr val="595959"/>
                </a:solidFill>
                <a:latin typeface="HG丸ｺﾞｼｯｸM-PRO"/>
              </a:rPr>
              <a:t>人口ピラミッド</a:t>
            </a:r>
          </a:p>
        </c:rich>
      </c:tx>
      <c:layout>
        <c:manualLayout>
          <c:xMode val="edge"/>
          <c:yMode val="edge"/>
          <c:x val="0.429518"/>
          <c:y val="0"/>
          <c:w val="0.140963"/>
          <c:h val="0.0612861"/>
        </c:manualLayout>
      </c:layout>
      <c:overlay val="1"/>
      <c:spPr>
        <a:noFill/>
        <a:effectLst/>
      </c:spPr>
    </c:title>
    <c:autoTitleDeleted val="1"/>
    <c:plotArea>
      <c:layout>
        <c:manualLayout>
          <c:layoutTarget val="inner"/>
          <c:xMode val="edge"/>
          <c:yMode val="edge"/>
          <c:x val="0.136073"/>
          <c:y val="0.0612861"/>
          <c:w val="0.844711"/>
          <c:h val="0.891344"/>
        </c:manualLayout>
      </c:layout>
      <c:barChart>
        <c:barDir val="bar"/>
        <c:grouping val="clustered"/>
        <c:varyColors val="0"/>
        <c:ser>
          <c:idx val="0"/>
          <c:order val="0"/>
          <c:tx>
            <c:v>男性</c:v>
          </c:tx>
          <c:spPr>
            <a:solidFill>
              <a:srgbClr val="00B050"/>
            </a:solidFill>
            <a:ln w="9525" cap="flat">
              <a:solidFill>
                <a:srgbClr val="000000"/>
              </a:solidFill>
              <a:prstDash val="solid"/>
              <a:round/>
            </a:ln>
            <a:effectLst/>
          </c:spPr>
          <c:invertIfNegative val="0"/>
          <c:dLbls>
            <c:numFmt formatCode="#,##0" sourceLinked="1"/>
            <c:txPr>
              <a:bodyPr/>
              <a:lstStyle/>
              <a:p>
                <a:pPr>
                  <a:defRPr b="0" i="0" strike="noStrike" sz="10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Lit>
          </c:cat>
          <c:val>
            <c:numLit>
              <c:ptCount val="21"/>
              <c:pt idx="0">
                <c:v>0.000000</c:v>
              </c:pt>
              <c:pt idx="1">
                <c:v>5.000000</c:v>
              </c:pt>
              <c:pt idx="2">
                <c:v>29.000000</c:v>
              </c:pt>
              <c:pt idx="3">
                <c:v>80.000000</c:v>
              </c:pt>
              <c:pt idx="4">
                <c:v>121.000000</c:v>
              </c:pt>
              <c:pt idx="5">
                <c:v>119.000000</c:v>
              </c:pt>
              <c:pt idx="6">
                <c:v>175.000000</c:v>
              </c:pt>
              <c:pt idx="7">
                <c:v>153.000000</c:v>
              </c:pt>
              <c:pt idx="8">
                <c:v>160.000000</c:v>
              </c:pt>
              <c:pt idx="9">
                <c:v>82.000000</c:v>
              </c:pt>
              <c:pt idx="10">
                <c:v>63.000000</c:v>
              </c:pt>
              <c:pt idx="11">
                <c:v>70.000000</c:v>
              </c:pt>
              <c:pt idx="12">
                <c:v>76.000000</c:v>
              </c:pt>
              <c:pt idx="13">
                <c:v>54.000000</c:v>
              </c:pt>
              <c:pt idx="14">
                <c:v>33.000000</c:v>
              </c:pt>
              <c:pt idx="15">
                <c:v>40.000000</c:v>
              </c:pt>
              <c:pt idx="16">
                <c:v>49.000000</c:v>
              </c:pt>
              <c:pt idx="17">
                <c:v>41.000000</c:v>
              </c:pt>
              <c:pt idx="18">
                <c:v>43.000000</c:v>
              </c:pt>
              <c:pt idx="19">
                <c:v>38.000000</c:v>
              </c:pt>
              <c:pt idx="20">
                <c:v>30.000000</c:v>
              </c:pt>
            </c:numLit>
          </c:val>
        </c:ser>
        <c:ser>
          <c:idx val="1"/>
          <c:order val="1"/>
          <c:tx>
            <c:v>女性</c:v>
          </c:tx>
          <c:spPr>
            <a:solidFill>
              <a:srgbClr val="FF0000"/>
            </a:solidFill>
            <a:ln w="9525" cap="flat">
              <a:solidFill>
                <a:srgbClr val="000000"/>
              </a:solidFill>
              <a:prstDash val="solid"/>
              <a:round/>
            </a:ln>
            <a:effectLst/>
          </c:spPr>
          <c:invertIfNegative val="0"/>
          <c:dLbls>
            <c:numFmt formatCode="#,##0" sourceLinked="1"/>
            <c:txPr>
              <a:bodyPr/>
              <a:lstStyle/>
              <a:p>
                <a:pPr>
                  <a:defRPr b="0" i="0" strike="noStrike" sz="10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21"/>
              <c:pt idx="0">
                <c:v>100歳以上</c:v>
              </c:pt>
              <c:pt idx="1">
                <c:v>95～99歳</c:v>
              </c:pt>
              <c:pt idx="2">
                <c:v>90～94歳</c:v>
              </c:pt>
              <c:pt idx="3">
                <c:v>85～89歳</c:v>
              </c:pt>
              <c:pt idx="4">
                <c:v>80～84歳</c:v>
              </c:pt>
              <c:pt idx="5">
                <c:v>75～79歳</c:v>
              </c:pt>
              <c:pt idx="6">
                <c:v>70～74歳</c:v>
              </c:pt>
              <c:pt idx="7">
                <c:v>65～69歳</c:v>
              </c:pt>
              <c:pt idx="8">
                <c:v>60～64歳</c:v>
              </c:pt>
              <c:pt idx="9">
                <c:v>55～59歳</c:v>
              </c:pt>
              <c:pt idx="10">
                <c:v>50～54歳</c:v>
              </c:pt>
              <c:pt idx="11">
                <c:v>45～49歳</c:v>
              </c:pt>
              <c:pt idx="12">
                <c:v>40～44歳</c:v>
              </c:pt>
              <c:pt idx="13">
                <c:v>35～39歳</c:v>
              </c:pt>
              <c:pt idx="14">
                <c:v>30～34歳</c:v>
              </c:pt>
              <c:pt idx="15">
                <c:v>25～29歳</c:v>
              </c:pt>
              <c:pt idx="16">
                <c:v>20～24歳</c:v>
              </c:pt>
              <c:pt idx="17">
                <c:v>15～19歳</c:v>
              </c:pt>
              <c:pt idx="18">
                <c:v>10～14歳</c:v>
              </c:pt>
              <c:pt idx="19">
                <c:v>5～9歳</c:v>
              </c:pt>
              <c:pt idx="20">
                <c:v>0～4歳</c:v>
              </c:pt>
            </c:strLit>
          </c:cat>
          <c:val>
            <c:numLit>
              <c:ptCount val="21"/>
              <c:pt idx="0">
                <c:v>1.000000</c:v>
              </c:pt>
              <c:pt idx="1">
                <c:v>16.000000</c:v>
              </c:pt>
              <c:pt idx="2">
                <c:v>55.000000</c:v>
              </c:pt>
              <c:pt idx="3">
                <c:v>121.000000</c:v>
              </c:pt>
              <c:pt idx="4">
                <c:v>150.000000</c:v>
              </c:pt>
              <c:pt idx="5">
                <c:v>148.000000</c:v>
              </c:pt>
              <c:pt idx="6">
                <c:v>184.000000</c:v>
              </c:pt>
              <c:pt idx="7">
                <c:v>160.000000</c:v>
              </c:pt>
              <c:pt idx="8">
                <c:v>133.000000</c:v>
              </c:pt>
              <c:pt idx="9">
                <c:v>101.000000</c:v>
              </c:pt>
              <c:pt idx="10">
                <c:v>72.000000</c:v>
              </c:pt>
              <c:pt idx="11">
                <c:v>50.000000</c:v>
              </c:pt>
              <c:pt idx="12">
                <c:v>76.000000</c:v>
              </c:pt>
              <c:pt idx="13">
                <c:v>52.000000</c:v>
              </c:pt>
              <c:pt idx="14">
                <c:v>54.000000</c:v>
              </c:pt>
              <c:pt idx="15">
                <c:v>38.000000</c:v>
              </c:pt>
              <c:pt idx="16">
                <c:v>27.000000</c:v>
              </c:pt>
              <c:pt idx="17">
                <c:v>42.000000</c:v>
              </c:pt>
              <c:pt idx="18">
                <c:v>44.000000</c:v>
              </c:pt>
              <c:pt idx="19">
                <c:v>35.000000</c:v>
              </c:pt>
              <c:pt idx="20">
                <c:v>24.000000</c:v>
              </c:pt>
            </c:numLit>
          </c:val>
        </c:ser>
        <c:gapWidth val="0"/>
        <c:overlap val="0"/>
        <c:axId val="2094734552"/>
        <c:axId val="2094734553"/>
      </c:barChart>
      <c:catAx>
        <c:axId val="2094734552"/>
        <c:scaling>
          <c:orientation val="maxMin"/>
        </c:scaling>
        <c:delete val="0"/>
        <c:axPos val="l"/>
        <c:numFmt formatCode="General" sourceLinked="1"/>
        <c:majorTickMark val="none"/>
        <c:minorTickMark val="none"/>
        <c:tickLblPos val="nextTo"/>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ax val="300"/>
          <c:min val="-450"/>
        </c:scaling>
        <c:delete val="0"/>
        <c:axPos val="b"/>
        <c:majorGridlines>
          <c:spPr>
            <a:ln w="12700" cap="flat">
              <a:solidFill>
                <a:srgbClr val="D9D9D9"/>
              </a:solidFill>
              <a:prstDash val="solid"/>
              <a:round/>
            </a:ln>
          </c:spPr>
        </c:majorGridlines>
        <c:numFmt formatCode="#,##0;&quot; &quot;" sourceLinked="0"/>
        <c:majorTickMark val="none"/>
        <c:minorTickMark val="none"/>
        <c:tickLblPos val="high"/>
        <c:spPr>
          <a:ln w="12700" cap="flat">
            <a:noFill/>
            <a:prstDash val="solid"/>
            <a:round/>
          </a:ln>
        </c:spPr>
        <c:txPr>
          <a:bodyPr rot="0"/>
          <a:lstStyle/>
          <a:p>
            <a:pPr>
              <a:defRPr b="0" i="0" strike="noStrike" sz="1100" u="none">
                <a:solidFill>
                  <a:srgbClr val="595959"/>
                </a:solidFill>
                <a:latin typeface="HG丸ｺﾞｼｯｸM-PRO"/>
              </a:defRPr>
            </a:pPr>
          </a:p>
        </c:txPr>
        <c:crossAx val="2094734552"/>
        <c:crosses val="min"/>
        <c:crossBetween val="between"/>
        <c:majorUnit val="150"/>
        <c:minorUnit val="75"/>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charts/chart8.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800" u="none">
                <a:solidFill>
                  <a:srgbClr val="595959"/>
                </a:solidFill>
                <a:latin typeface="HG丸ｺﾞｼｯｸM-PRO"/>
              </a:defRPr>
            </a:pPr>
            <a:r>
              <a:rPr b="0" i="0" strike="noStrike" sz="1800" u="none">
                <a:solidFill>
                  <a:srgbClr val="595959"/>
                </a:solidFill>
                <a:latin typeface="HG丸ｺﾞｼｯｸM-PRO"/>
              </a:rPr>
              <a:t>総人口の推移グラフ</a:t>
            </a:r>
          </a:p>
        </c:rich>
      </c:tx>
      <c:layout>
        <c:manualLayout>
          <c:xMode val="edge"/>
          <c:yMode val="edge"/>
          <c:x val="0.393394"/>
          <c:y val="0"/>
          <c:w val="0.210529"/>
          <c:h val="0.0951233"/>
        </c:manualLayout>
      </c:layout>
      <c:overlay val="1"/>
      <c:spPr>
        <a:noFill/>
        <a:effectLst/>
      </c:spPr>
    </c:title>
    <c:autoTitleDeleted val="1"/>
    <c:plotArea>
      <c:layout>
        <c:manualLayout>
          <c:layoutTarget val="inner"/>
          <c:xMode val="edge"/>
          <c:yMode val="edge"/>
          <c:x val="0.0984925"/>
          <c:y val="0.0951233"/>
          <c:w val="0.896508"/>
          <c:h val="0.831226"/>
        </c:manualLayout>
      </c:layout>
      <c:barChart>
        <c:barDir val="col"/>
        <c:grouping val="stacked"/>
        <c:varyColors val="0"/>
        <c:ser>
          <c:idx val="0"/>
          <c:order val="0"/>
          <c:tx>
            <c:v>男性</c:v>
          </c:tx>
          <c:spPr>
            <a:blipFill rotWithShape="1">
              <a:blip r:embed="rId1"/>
              <a:srcRect l="0" t="0" r="0" b="0"/>
              <a:tile tx="0" ty="0" sx="100000" sy="100000" flip="none" algn="tl"/>
            </a:blipFill>
            <a:ln w="9525" cap="flat">
              <a:solidFill>
                <a:schemeClr val="accent5"/>
              </a:solidFill>
              <a:prstDash val="solid"/>
              <a:round/>
            </a:ln>
            <a:effectLst/>
          </c:spPr>
          <c:invertIfNegative val="0"/>
          <c:dLbls>
            <c:numFmt formatCode="#,##0" sourceLinked="1"/>
            <c:txPr>
              <a:bodyPr/>
              <a:lstStyle/>
              <a:p>
                <a:pPr>
                  <a:defRPr b="0" i="0" strike="noStrike" sz="1200" u="none">
                    <a:solidFill>
                      <a:srgbClr val="404040"/>
                    </a:solidFill>
                    <a:latin typeface="HG丸ｺﾞｼｯｸM-PRO"/>
                  </a:defRPr>
                </a:pPr>
              </a:p>
            </c:txPr>
            <c:dLblPos val="ctr"/>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7"/>
              <c:pt idx="0">
                <c:v>1909.000000</c:v>
              </c:pt>
              <c:pt idx="1">
                <c:v>1680.000000</c:v>
              </c:pt>
              <c:pt idx="2">
                <c:v>1461.000000</c:v>
              </c:pt>
              <c:pt idx="3">
                <c:v>1234.000000</c:v>
              </c:pt>
              <c:pt idx="4">
                <c:v>1026.000000</c:v>
              </c:pt>
              <c:pt idx="5">
                <c:v>838.000000</c:v>
              </c:pt>
              <c:pt idx="6">
                <c:v>674.000000</c:v>
              </c:pt>
            </c:numLit>
          </c:val>
        </c:ser>
        <c:ser>
          <c:idx val="1"/>
          <c:order val="1"/>
          <c:tx>
            <c:v>女性</c:v>
          </c:tx>
          <c:spPr>
            <a:blipFill rotWithShape="1">
              <a:blip r:embed="rId2"/>
              <a:srcRect l="0" t="0" r="0" b="0"/>
              <a:tile tx="0" ty="0" sx="100000" sy="100000" flip="none" algn="tl"/>
            </a:blipFill>
            <a:ln w="9525" cap="flat">
              <a:solidFill>
                <a:srgbClr val="FF66FF"/>
              </a:solidFill>
              <a:prstDash val="solid"/>
              <a:round/>
            </a:ln>
            <a:effectLst/>
          </c:spPr>
          <c:invertIfNegative val="0"/>
          <c:dLbls>
            <c:numFmt formatCode="#,##0" sourceLinked="1"/>
            <c:txPr>
              <a:bodyPr/>
              <a:lstStyle/>
              <a:p>
                <a:pPr>
                  <a:defRPr b="0" i="0" strike="noStrike" sz="1200" u="none">
                    <a:solidFill>
                      <a:srgbClr val="404040"/>
                    </a:solidFill>
                    <a:latin typeface="HG丸ｺﾞｼｯｸM-PRO"/>
                  </a:defRPr>
                </a:pPr>
              </a:p>
            </c:txPr>
            <c:dLblPos val="ctr"/>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7"/>
              <c:pt idx="0">
                <c:v>2109.000000</c:v>
              </c:pt>
              <c:pt idx="1">
                <c:v>1841.000000</c:v>
              </c:pt>
              <c:pt idx="2">
                <c:v>1583.000000</c:v>
              </c:pt>
              <c:pt idx="3">
                <c:v>1332.000000</c:v>
              </c:pt>
              <c:pt idx="4">
                <c:v>1100.000000</c:v>
              </c:pt>
              <c:pt idx="5">
                <c:v>901.000000</c:v>
              </c:pt>
              <c:pt idx="6">
                <c:v>730.000000</c:v>
              </c:pt>
            </c:numLit>
          </c:val>
        </c:ser>
        <c:ser>
          <c:idx val="2"/>
          <c:order val="2"/>
          <c:tx>
            <c:v>計</c:v>
          </c:tx>
          <c:spPr>
            <a:noFill/>
            <a:ln w="12700" cap="flat">
              <a:noFill/>
              <a:miter lim="400000"/>
            </a:ln>
            <a:effectLst/>
          </c:spPr>
          <c:invertIfNegative val="0"/>
          <c:dLbls>
            <c:numFmt formatCode="#,##0" sourceLinked="1"/>
            <c:txPr>
              <a:bodyPr/>
              <a:lstStyle/>
              <a:p>
                <a:pPr>
                  <a:defRPr b="0" i="0" strike="noStrike" sz="1200" u="none">
                    <a:solidFill>
                      <a:srgbClr val="404040"/>
                    </a:solidFill>
                    <a:latin typeface="HG丸ｺﾞｼｯｸM-PRO"/>
                  </a:defRPr>
                </a:pPr>
              </a:p>
            </c:txPr>
            <c:dLblPos val="inEnd"/>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7"/>
              <c:pt idx="0">
                <c:v>4018.000000</c:v>
              </c:pt>
              <c:pt idx="1">
                <c:v>3521.000000</c:v>
              </c:pt>
              <c:pt idx="2">
                <c:v>3044.000000</c:v>
              </c:pt>
              <c:pt idx="3">
                <c:v>2566.000000</c:v>
              </c:pt>
              <c:pt idx="4">
                <c:v>2126.000000</c:v>
              </c:pt>
              <c:pt idx="5">
                <c:v>1739.000000</c:v>
              </c:pt>
              <c:pt idx="6">
                <c:v>1404.000000</c:v>
              </c:pt>
            </c:numLit>
          </c:val>
        </c:ser>
        <c:gapWidth val="219"/>
        <c:overlap val="100"/>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400" u="none">
                <a:solidFill>
                  <a:srgbClr val="595959"/>
                </a:solidFill>
                <a:latin typeface="HG丸ｺﾞｼｯｸM-PRO"/>
              </a:defRPr>
            </a:pPr>
          </a:p>
        </c:txPr>
        <c:crossAx val="2094734553"/>
        <c:crosses val="autoZero"/>
        <c:auto val="1"/>
        <c:lblAlgn val="ctr"/>
        <c:noMultiLvlLbl val="1"/>
      </c:catAx>
      <c:valAx>
        <c:axId val="2094734553"/>
        <c:scaling>
          <c:orientation val="minMax"/>
          <c:min val="0"/>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400" u="none">
                <a:solidFill>
                  <a:srgbClr val="595959"/>
                </a:solidFill>
                <a:latin typeface="HG丸ｺﾞｼｯｸM-PRO"/>
              </a:defRPr>
            </a:pPr>
          </a:p>
        </c:txPr>
        <c:crossAx val="2094734552"/>
        <c:crosses val="autoZero"/>
        <c:crossBetween val="between"/>
        <c:majorUnit val="2250"/>
        <c:minorUnit val="1125"/>
      </c:valAx>
      <c:spPr>
        <a:noFill/>
        <a:ln w="12700" cap="flat">
          <a:noFill/>
          <a:miter lim="400000"/>
        </a:ln>
        <a:effectLst/>
      </c:spPr>
    </c:plotArea>
    <c:legend>
      <c:legendPos val="r"/>
      <c:layout>
        <c:manualLayout>
          <c:xMode val="edge"/>
          <c:yMode val="edge"/>
          <c:x val="0.713251"/>
          <c:y val="0.0484866"/>
          <c:w val="0.286749"/>
          <c:h val="0.101099"/>
        </c:manualLayout>
      </c:layout>
      <c:overlay val="1"/>
      <c:spPr>
        <a:noFill/>
        <a:ln w="12700" cap="flat">
          <a:noFill/>
          <a:miter lim="400000"/>
        </a:ln>
        <a:effectLst/>
      </c:spPr>
      <c:txPr>
        <a:bodyPr rot="0"/>
        <a:lstStyle/>
        <a:p>
          <a:pPr>
            <a:defRPr b="0" i="0" strike="noStrike" sz="1400" u="none">
              <a:solidFill>
                <a:srgbClr val="595959"/>
              </a:solidFill>
              <a:latin typeface="HG丸ｺﾞｼｯｸM-PRO"/>
            </a:defRPr>
          </a:pPr>
        </a:p>
      </c:txPr>
    </c:legend>
    <c:plotVisOnly val="1"/>
    <c:dispBlanksAs val="gap"/>
  </c:chart>
  <c:spPr>
    <a:solidFill>
      <a:srgbClr val="FFFFFF"/>
    </a:solidFill>
    <a:ln w="12700" cap="flat">
      <a:solidFill>
        <a:srgbClr val="000000"/>
      </a:solidFill>
      <a:prstDash val="solid"/>
      <a:round/>
    </a:ln>
    <a:effectLst/>
  </c:spPr>
</c:chartSpace>
</file>

<file path=xl/charts/chart9.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0" i="0" strike="noStrike" sz="1800" u="none">
                <a:solidFill>
                  <a:srgbClr val="595959"/>
                </a:solidFill>
                <a:latin typeface="HG丸ｺﾞｼｯｸM-PRO"/>
              </a:defRPr>
            </a:pPr>
            <a:r>
              <a:rPr b="0" i="0" strike="noStrike" sz="1800" u="none">
                <a:solidFill>
                  <a:srgbClr val="595959"/>
                </a:solidFill>
                <a:latin typeface="HG丸ｺﾞｼｯｸM-PRO"/>
              </a:rPr>
              <a:t>小学生数の推移グラフ</a:t>
            </a:r>
          </a:p>
        </c:rich>
      </c:tx>
      <c:layout>
        <c:manualLayout>
          <c:xMode val="edge"/>
          <c:yMode val="edge"/>
          <c:x val="0.380993"/>
          <c:y val="0"/>
          <c:w val="0.238014"/>
          <c:h val="0.139292"/>
        </c:manualLayout>
      </c:layout>
      <c:overlay val="1"/>
      <c:spPr>
        <a:noFill/>
        <a:effectLst/>
      </c:spPr>
    </c:title>
    <c:autoTitleDeleted val="1"/>
    <c:plotArea>
      <c:layout>
        <c:manualLayout>
          <c:layoutTarget val="inner"/>
          <c:xMode val="edge"/>
          <c:yMode val="edge"/>
          <c:x val="0.0737637"/>
          <c:y val="0.139292"/>
          <c:w val="0.921236"/>
          <c:h val="0.745916"/>
        </c:manualLayout>
      </c:layout>
      <c:barChart>
        <c:barDir val="col"/>
        <c:grouping val="clustered"/>
        <c:varyColors val="0"/>
        <c:ser>
          <c:idx val="0"/>
          <c:order val="0"/>
          <c:tx>
            <c:v/>
          </c:tx>
          <c:spPr>
            <a:solidFill>
              <a:srgbClr val="0070C0"/>
            </a:solidFill>
            <a:ln w="9525" cap="flat">
              <a:solidFill>
                <a:srgbClr val="0070C0"/>
              </a:solidFill>
              <a:prstDash val="solid"/>
              <a:round/>
            </a:ln>
            <a:effectLst/>
          </c:spPr>
          <c:invertIfNegative val="0"/>
          <c:dPt>
            <c:idx val="0"/>
            <c:spPr>
              <a:solidFill>
                <a:srgbClr val="0070C0"/>
              </a:solidFill>
              <a:ln w="9525" cap="flat">
                <a:solidFill>
                  <a:srgbClr val="0070C0"/>
                </a:solidFill>
                <a:prstDash val="solid"/>
                <a:round/>
              </a:ln>
              <a:effectLst/>
            </c:spPr>
          </c:dPt>
          <c:dPt>
            <c:idx val="1"/>
            <c:spPr>
              <a:solidFill>
                <a:srgbClr val="0070C0"/>
              </a:solidFill>
              <a:ln w="9525" cap="flat">
                <a:solidFill>
                  <a:srgbClr val="0070C0"/>
                </a:solidFill>
                <a:prstDash val="solid"/>
                <a:round/>
              </a:ln>
              <a:effectLst/>
            </c:spPr>
          </c:dPt>
          <c:dPt>
            <c:idx val="2"/>
            <c:spPr>
              <a:solidFill>
                <a:srgbClr val="0070C0"/>
              </a:solidFill>
              <a:ln w="9525" cap="flat">
                <a:solidFill>
                  <a:srgbClr val="0070C0"/>
                </a:solidFill>
                <a:prstDash val="solid"/>
                <a:round/>
              </a:ln>
              <a:effectLst/>
            </c:spPr>
          </c:dPt>
          <c:dPt>
            <c:idx val="3"/>
            <c:spPr>
              <a:solidFill>
                <a:srgbClr val="DAE3F3"/>
              </a:solidFill>
              <a:ln w="9525" cap="flat">
                <a:solidFill>
                  <a:srgbClr val="0070C0"/>
                </a:solidFill>
                <a:prstDash val="solid"/>
                <a:round/>
              </a:ln>
              <a:effectLst/>
            </c:spPr>
          </c:dPt>
          <c:dPt>
            <c:idx val="4"/>
            <c:spPr>
              <a:solidFill>
                <a:srgbClr val="DAE3F3"/>
              </a:solidFill>
              <a:ln w="9525" cap="flat">
                <a:solidFill>
                  <a:srgbClr val="0070C0"/>
                </a:solidFill>
                <a:prstDash val="solid"/>
                <a:round/>
              </a:ln>
              <a:effectLst/>
            </c:spPr>
          </c:dPt>
          <c:dPt>
            <c:idx val="5"/>
            <c:spPr>
              <a:solidFill>
                <a:srgbClr val="DAE3F3"/>
              </a:solidFill>
              <a:ln w="9525" cap="flat">
                <a:solidFill>
                  <a:srgbClr val="0070C0"/>
                </a:solidFill>
                <a:prstDash val="solid"/>
                <a:round/>
              </a:ln>
              <a:effectLst/>
            </c:spPr>
          </c:dPt>
          <c:dPt>
            <c:idx val="6"/>
            <c:spPr>
              <a:solidFill>
                <a:srgbClr val="DAE3F3"/>
              </a:solidFill>
              <a:ln w="9525" cap="flat">
                <a:solidFill>
                  <a:srgbClr val="0070C0"/>
                </a:solidFill>
                <a:prstDash val="solid"/>
                <a:round/>
              </a:ln>
              <a:effectLst/>
            </c:spPr>
          </c:dPt>
          <c:dLbls>
            <c:dLbl>
              <c:idx val="0"/>
              <c:numFmt formatCode="#,##0" sourceLinked="1"/>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1"/>
              <c:numFmt formatCode="#,##0" sourceLinked="1"/>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2"/>
              <c:numFmt formatCode="#,##0" sourceLinked="1"/>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3"/>
              <c:numFmt formatCode="#,##0" sourceLinked="1"/>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4"/>
              <c:numFmt formatCode="#,##0" sourceLinked="1"/>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5"/>
              <c:numFmt formatCode="#,##0" sourceLinked="1"/>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dLbl>
              <c:idx val="6"/>
              <c:numFmt formatCode="#,##0" sourceLinked="1"/>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dLbl>
            <c:numFmt formatCode="#,##0" sourceLinked="1"/>
            <c:txPr>
              <a:bodyPr/>
              <a:lstStyle/>
              <a:p>
                <a:pPr>
                  <a:defRPr b="0" i="0" strike="noStrike" sz="1400" u="none">
                    <a:solidFill>
                      <a:srgbClr val="404040"/>
                    </a:solidFill>
                    <a:latin typeface="HG丸ｺﾞｼｯｸM-PRO"/>
                  </a:defRPr>
                </a:pPr>
              </a:p>
            </c:txPr>
            <c:dLblPos val="outEnd"/>
            <c:showLegendKey val="0"/>
            <c:showVal val="1"/>
            <c:showCatName val="0"/>
            <c:showSerName val="0"/>
            <c:showPercent val="0"/>
            <c:showBubbleSize val="0"/>
            <c:showLeaderLines val="0"/>
          </c:dLbls>
          <c:cat>
            <c:strLit>
              <c:ptCount val="7"/>
              <c:pt idx="0">
                <c:v>2010</c:v>
              </c:pt>
              <c:pt idx="1">
                <c:v>2015</c:v>
              </c:pt>
              <c:pt idx="2">
                <c:v>2020</c:v>
              </c:pt>
              <c:pt idx="3">
                <c:v>2025</c:v>
              </c:pt>
              <c:pt idx="4">
                <c:v>2030</c:v>
              </c:pt>
              <c:pt idx="5">
                <c:v>2035</c:v>
              </c:pt>
              <c:pt idx="6">
                <c:v>2040</c:v>
              </c:pt>
            </c:strLit>
          </c:cat>
          <c:val>
            <c:numLit>
              <c:ptCount val="7"/>
              <c:pt idx="0">
                <c:v>122.000000</c:v>
              </c:pt>
              <c:pt idx="1">
                <c:v>125.000000</c:v>
              </c:pt>
              <c:pt idx="2">
                <c:v>96.000000</c:v>
              </c:pt>
              <c:pt idx="3">
                <c:v>73.000000</c:v>
              </c:pt>
              <c:pt idx="4">
                <c:v>54.000000</c:v>
              </c:pt>
              <c:pt idx="5">
                <c:v>41.000000</c:v>
              </c:pt>
              <c:pt idx="6">
                <c:v>32.000000</c:v>
              </c:pt>
            </c:numLit>
          </c:val>
        </c:ser>
        <c:gapWidth val="100"/>
        <c:overlap val="-27"/>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200" u="none">
                <a:solidFill>
                  <a:srgbClr val="595959"/>
                </a:solidFill>
                <a:latin typeface="HG丸ｺﾞｼｯｸM-PRO"/>
              </a:defRPr>
            </a:pPr>
          </a:p>
        </c:txPr>
        <c:crossAx val="2094734553"/>
        <c:crosses val="autoZero"/>
        <c:auto val="1"/>
        <c:lblAlgn val="ctr"/>
        <c:noMultiLvlLbl val="1"/>
      </c:catAx>
      <c:valAx>
        <c:axId val="2094734553"/>
        <c:scaling>
          <c:orientation val="minMax"/>
          <c:min val="0"/>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200" u="none">
                <a:solidFill>
                  <a:srgbClr val="595959"/>
                </a:solidFill>
                <a:latin typeface="HG丸ｺﾞｼｯｸM-PRO"/>
              </a:defRPr>
            </a:pPr>
          </a:p>
        </c:txPr>
        <c:crossAx val="2094734552"/>
        <c:crosses val="autoZero"/>
        <c:crossBetween val="between"/>
        <c:majorUnit val="32.5"/>
        <c:minorUnit val="16.25"/>
      </c:valAx>
      <c:spPr>
        <a:noFill/>
        <a:ln w="12700" cap="flat">
          <a:noFill/>
          <a:miter lim="400000"/>
        </a:ln>
        <a:effectLst/>
      </c:spPr>
    </c:plotArea>
    <c:plotVisOnly val="1"/>
    <c:dispBlanksAs val="gap"/>
  </c:chart>
  <c:spPr>
    <a:solidFill>
      <a:srgbClr val="FFFFFF"/>
    </a:solidFill>
    <a:ln w="12700" cap="flat">
      <a:solidFill>
        <a:srgbClr val="000000"/>
      </a:solidFill>
      <a:prstDash val="solid"/>
      <a:round/>
    </a:ln>
    <a:effectLst/>
  </c:spPr>
</c:chartSpace>
</file>

<file path=xl/drawings/_rels/drawing1.xml.rels><?xml version="1.0" encoding="UTF-8"?>
<Relationships xmlns="http://schemas.openxmlformats.org/package/2006/relationships"><Relationship Id="rId1" Type="http://schemas.openxmlformats.org/officeDocument/2006/relationships/image" Target="../media/image1.png"/></Relationships>

</file>

<file path=xl/drawings/_rels/drawing2.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chart" Target="../charts/chart1.xml"/><Relationship Id="rId4" Type="http://schemas.openxmlformats.org/officeDocument/2006/relationships/chart" Target="../charts/chart2.xml"/><Relationship Id="rId5" Type="http://schemas.openxmlformats.org/officeDocument/2006/relationships/chart" Target="../charts/chart3.xml"/><Relationship Id="rId6" Type="http://schemas.openxmlformats.org/officeDocument/2006/relationships/chart" Target="../charts/chart4.xml"/><Relationship Id="rId7" Type="http://schemas.openxmlformats.org/officeDocument/2006/relationships/chart" Target="../charts/chart5.xml"/><Relationship Id="rId8" Type="http://schemas.openxmlformats.org/officeDocument/2006/relationships/chart" Target="../charts/chart6.xml"/><Relationship Id="rId9" Type="http://schemas.openxmlformats.org/officeDocument/2006/relationships/image" Target="../media/image4.png"/><Relationship Id="rId10" Type="http://schemas.openxmlformats.org/officeDocument/2006/relationships/chart" Target="../charts/chart7.xml"/></Relationships>

</file>

<file path=xl/drawings/_rels/drawing3.xml.rels><?xml version="1.0" encoding="UTF-8"?>
<Relationships xmlns="http://schemas.openxmlformats.org/package/2006/relationships"><Relationship Id="rId1" Type="http://schemas.openxmlformats.org/officeDocument/2006/relationships/chart" Target="../charts/chart8.xml"/><Relationship Id="rId2" Type="http://schemas.openxmlformats.org/officeDocument/2006/relationships/image" Target="../media/image2.png"/><Relationship Id="rId3" Type="http://schemas.openxmlformats.org/officeDocument/2006/relationships/chart" Target="../charts/chart9.xml"/><Relationship Id="rId4" Type="http://schemas.openxmlformats.org/officeDocument/2006/relationships/chart" Target="../charts/chart10.xml"/><Relationship Id="rId5" Type="http://schemas.openxmlformats.org/officeDocument/2006/relationships/chart" Target="../charts/chart11.xml"/><Relationship Id="rId6" Type="http://schemas.openxmlformats.org/officeDocument/2006/relationships/chart" Target="../charts/chart12.xml"/><Relationship Id="rId7" Type="http://schemas.openxmlformats.org/officeDocument/2006/relationships/image" Target="../media/image5.png"/><Relationship Id="rId8" Type="http://schemas.openxmlformats.org/officeDocument/2006/relationships/image" Target="../media/image3.png"/><Relationship Id="rId9" Type="http://schemas.openxmlformats.org/officeDocument/2006/relationships/chart" Target="../charts/chart13.xml"/><Relationship Id="rId10" Type="http://schemas.openxmlformats.org/officeDocument/2006/relationships/chart" Target="../charts/chart14.xml"/><Relationship Id="rId11" Type="http://schemas.openxmlformats.org/officeDocument/2006/relationships/image" Target="../media/image6.png"/></Relationships>

</file>

<file path=xl/drawings/_rels/drawing4.xml.rels><?xml version="1.0" encoding="UTF-8"?>
<Relationships xmlns="http://schemas.openxmlformats.org/package/2006/relationships"><Relationship Id="rId1" Type="http://schemas.openxmlformats.org/officeDocument/2006/relationships/image" Target="../media/image6.png"/><Relationship Id="rId2" Type="http://schemas.openxmlformats.org/officeDocument/2006/relationships/image" Target="../media/image2.png"/><Relationship Id="rId3" Type="http://schemas.openxmlformats.org/officeDocument/2006/relationships/chart" Target="../charts/chart15.xml"/><Relationship Id="rId4" Type="http://schemas.openxmlformats.org/officeDocument/2006/relationships/chart" Target="../charts/chart16.xml"/><Relationship Id="rId5" Type="http://schemas.openxmlformats.org/officeDocument/2006/relationships/chart" Target="../charts/chart17.xml"/><Relationship Id="rId6" Type="http://schemas.openxmlformats.org/officeDocument/2006/relationships/chart" Target="../charts/chart18.xml"/><Relationship Id="rId7" Type="http://schemas.openxmlformats.org/officeDocument/2006/relationships/chart" Target="../charts/chart19.xml"/><Relationship Id="rId8" Type="http://schemas.openxmlformats.org/officeDocument/2006/relationships/image" Target="../media/image4.png"/><Relationship Id="rId9" Type="http://schemas.openxmlformats.org/officeDocument/2006/relationships/image" Target="../media/image3.png"/><Relationship Id="rId10" Type="http://schemas.openxmlformats.org/officeDocument/2006/relationships/chart" Target="../charts/chart20.xml"/><Relationship Id="rId11" Type="http://schemas.openxmlformats.org/officeDocument/2006/relationships/chart" Target="../charts/chart21.xml"/><Relationship Id="rId12" Type="http://schemas.openxmlformats.org/officeDocument/2006/relationships/chart" Target="../charts/chart22.xml"/><Relationship Id="rId13" Type="http://schemas.openxmlformats.org/officeDocument/2006/relationships/chart" Target="../charts/chart23.xml"/></Relationships>

</file>

<file path=xl/drawings/_rels/drawing5.xml.rels><?xml version="1.0" encoding="UTF-8"?>
<Relationships xmlns="http://schemas.openxmlformats.org/package/2006/relationships"><Relationship Id="rId1" Type="http://schemas.openxmlformats.org/officeDocument/2006/relationships/chart" Target="../charts/chart24.xml"/><Relationship Id="rId2" Type="http://schemas.openxmlformats.org/officeDocument/2006/relationships/chart" Target="../charts/chart25.xml"/><Relationship Id="rId3" Type="http://schemas.openxmlformats.org/officeDocument/2006/relationships/chart" Target="../charts/chart26.xml"/><Relationship Id="rId4" Type="http://schemas.openxmlformats.org/officeDocument/2006/relationships/image" Target="../media/image4.png"/><Relationship Id="rId5" Type="http://schemas.openxmlformats.org/officeDocument/2006/relationships/chart" Target="../charts/chart27.xml"/><Relationship Id="rId6" Type="http://schemas.openxmlformats.org/officeDocument/2006/relationships/chart" Target="../charts/chart28.xml"/><Relationship Id="rId7" Type="http://schemas.openxmlformats.org/officeDocument/2006/relationships/chart" Target="../charts/chart29.xml"/><Relationship Id="rId8" Type="http://schemas.openxmlformats.org/officeDocument/2006/relationships/image" Target="../media/image3.png"/><Relationship Id="rId9" Type="http://schemas.openxmlformats.org/officeDocument/2006/relationships/image" Target="../media/image2.png"/><Relationship Id="rId10" Type="http://schemas.openxmlformats.org/officeDocument/2006/relationships/image" Target="../media/image6.png"/></Relationships>

</file>

<file path=xl/drawings/_rels/drawing6.xml.rels><?xml version="1.0" encoding="UTF-8"?>
<Relationships xmlns="http://schemas.openxmlformats.org/package/2006/relationships"><Relationship Id="rId1" Type="http://schemas.openxmlformats.org/officeDocument/2006/relationships/image" Target="../media/image6.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7</xdr:col>
      <xdr:colOff>236434</xdr:colOff>
      <xdr:row>0</xdr:row>
      <xdr:rowOff>174800</xdr:rowOff>
    </xdr:from>
    <xdr:to>
      <xdr:col>9</xdr:col>
      <xdr:colOff>465436</xdr:colOff>
      <xdr:row>4</xdr:row>
      <xdr:rowOff>129538</xdr:rowOff>
    </xdr:to>
    <xdr:pic>
      <xdr:nvPicPr>
        <xdr:cNvPr id="2" name="図 1" descr="図 1"/>
        <xdr:cNvPicPr>
          <a:picLocks noChangeAspect="1"/>
        </xdr:cNvPicPr>
      </xdr:nvPicPr>
      <xdr:blipFill>
        <a:blip r:embed="rId1">
          <a:extLst/>
        </a:blip>
        <a:stretch>
          <a:fillRect/>
        </a:stretch>
      </xdr:blipFill>
      <xdr:spPr>
        <a:xfrm>
          <a:off x="5837134" y="174800"/>
          <a:ext cx="1829203" cy="1354914"/>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7</xdr:col>
      <xdr:colOff>559616</xdr:colOff>
      <xdr:row>82</xdr:row>
      <xdr:rowOff>246533</xdr:rowOff>
    </xdr:from>
    <xdr:to>
      <xdr:col>8</xdr:col>
      <xdr:colOff>601012</xdr:colOff>
      <xdr:row>86</xdr:row>
      <xdr:rowOff>259216</xdr:rowOff>
    </xdr:to>
    <xdr:pic>
      <xdr:nvPicPr>
        <xdr:cNvPr id="4" name="図 12" descr="図 12"/>
        <xdr:cNvPicPr>
          <a:picLocks noChangeAspect="1"/>
        </xdr:cNvPicPr>
      </xdr:nvPicPr>
      <xdr:blipFill>
        <a:blip r:embed="rId1">
          <a:extLst/>
        </a:blip>
        <a:stretch>
          <a:fillRect/>
        </a:stretch>
      </xdr:blipFill>
      <xdr:spPr>
        <a:xfrm>
          <a:off x="7392216" y="24363833"/>
          <a:ext cx="841497" cy="1155684"/>
        </a:xfrm>
        <a:prstGeom prst="rect">
          <a:avLst/>
        </a:prstGeom>
        <a:ln w="12700" cap="flat">
          <a:noFill/>
          <a:miter lim="400000"/>
        </a:ln>
        <a:effectLst/>
      </xdr:spPr>
    </xdr:pic>
    <xdr:clientData/>
  </xdr:twoCellAnchor>
  <xdr:twoCellAnchor>
    <xdr:from>
      <xdr:col>7</xdr:col>
      <xdr:colOff>399677</xdr:colOff>
      <xdr:row>48</xdr:row>
      <xdr:rowOff>214157</xdr:rowOff>
    </xdr:from>
    <xdr:to>
      <xdr:col>8</xdr:col>
      <xdr:colOff>496595</xdr:colOff>
      <xdr:row>53</xdr:row>
      <xdr:rowOff>187769</xdr:rowOff>
    </xdr:to>
    <xdr:pic>
      <xdr:nvPicPr>
        <xdr:cNvPr id="5" name="図 13" descr="図 13"/>
        <xdr:cNvPicPr>
          <a:picLocks noChangeAspect="1"/>
        </xdr:cNvPicPr>
      </xdr:nvPicPr>
      <xdr:blipFill>
        <a:blip r:embed="rId2">
          <a:extLst/>
        </a:blip>
        <a:stretch>
          <a:fillRect/>
        </a:stretch>
      </xdr:blipFill>
      <xdr:spPr>
        <a:xfrm>
          <a:off x="7232277" y="14387357"/>
          <a:ext cx="897019" cy="1402363"/>
        </a:xfrm>
        <a:prstGeom prst="rect">
          <a:avLst/>
        </a:prstGeom>
        <a:ln w="12700" cap="flat">
          <a:noFill/>
          <a:miter lim="400000"/>
        </a:ln>
        <a:effectLst/>
      </xdr:spPr>
    </xdr:pic>
    <xdr:clientData/>
  </xdr:twoCellAnchor>
  <xdr:twoCellAnchor>
    <xdr:from>
      <xdr:col>0</xdr:col>
      <xdr:colOff>269240</xdr:colOff>
      <xdr:row>42</xdr:row>
      <xdr:rowOff>70675</xdr:rowOff>
    </xdr:from>
    <xdr:to>
      <xdr:col>7</xdr:col>
      <xdr:colOff>305547</xdr:colOff>
      <xdr:row>51</xdr:row>
      <xdr:rowOff>6648</xdr:rowOff>
    </xdr:to>
    <xdr:graphicFrame>
      <xdr:nvGraphicFramePr>
        <xdr:cNvPr id="6" name="グラフ 4"/>
        <xdr:cNvGraphicFramePr/>
      </xdr:nvGraphicFramePr>
      <xdr:xfrm>
        <a:off x="269240" y="12529375"/>
        <a:ext cx="6868908" cy="2507724"/>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0</xdr:col>
      <xdr:colOff>532066</xdr:colOff>
      <xdr:row>42</xdr:row>
      <xdr:rowOff>95280</xdr:rowOff>
    </xdr:from>
    <xdr:to>
      <xdr:col>1</xdr:col>
      <xdr:colOff>790460</xdr:colOff>
      <xdr:row>43</xdr:row>
      <xdr:rowOff>89946</xdr:rowOff>
    </xdr:to>
    <xdr:sp>
      <xdr:nvSpPr>
        <xdr:cNvPr id="7" name="テキスト ボックス 1"/>
        <xdr:cNvSpPr txBox="1"/>
      </xdr:nvSpPr>
      <xdr:spPr>
        <a:xfrm>
          <a:off x="532066" y="12553980"/>
          <a:ext cx="1058495"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0</xdr:col>
      <xdr:colOff>311581</xdr:colOff>
      <xdr:row>52</xdr:row>
      <xdr:rowOff>178124</xdr:rowOff>
    </xdr:from>
    <xdr:to>
      <xdr:col>7</xdr:col>
      <xdr:colOff>305547</xdr:colOff>
      <xdr:row>61</xdr:row>
      <xdr:rowOff>96295</xdr:rowOff>
    </xdr:to>
    <xdr:graphicFrame>
      <xdr:nvGraphicFramePr>
        <xdr:cNvPr id="8" name="グラフ 5"/>
        <xdr:cNvGraphicFramePr/>
      </xdr:nvGraphicFramePr>
      <xdr:xfrm>
        <a:off x="311581" y="15494324"/>
        <a:ext cx="6826567" cy="2489922"/>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0</xdr:col>
      <xdr:colOff>447566</xdr:colOff>
      <xdr:row>52</xdr:row>
      <xdr:rowOff>212634</xdr:rowOff>
    </xdr:from>
    <xdr:to>
      <xdr:col>1</xdr:col>
      <xdr:colOff>715847</xdr:colOff>
      <xdr:row>53</xdr:row>
      <xdr:rowOff>207300</xdr:rowOff>
    </xdr:to>
    <xdr:sp>
      <xdr:nvSpPr>
        <xdr:cNvPr id="9" name="テキスト ボックス 1"/>
        <xdr:cNvSpPr txBox="1"/>
      </xdr:nvSpPr>
      <xdr:spPr>
        <a:xfrm>
          <a:off x="447566" y="15528834"/>
          <a:ext cx="1068382"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0</xdr:col>
      <xdr:colOff>266443</xdr:colOff>
      <xdr:row>76</xdr:row>
      <xdr:rowOff>34047</xdr:rowOff>
    </xdr:from>
    <xdr:to>
      <xdr:col>7</xdr:col>
      <xdr:colOff>350371</xdr:colOff>
      <xdr:row>84</xdr:row>
      <xdr:rowOff>176338</xdr:rowOff>
    </xdr:to>
    <xdr:graphicFrame>
      <xdr:nvGraphicFramePr>
        <xdr:cNvPr id="10" name="グラフ 7"/>
        <xdr:cNvGraphicFramePr/>
      </xdr:nvGraphicFramePr>
      <xdr:xfrm>
        <a:off x="266443" y="22436847"/>
        <a:ext cx="6916529" cy="2428292"/>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0</xdr:col>
      <xdr:colOff>266443</xdr:colOff>
      <xdr:row>85</xdr:row>
      <xdr:rowOff>284581</xdr:rowOff>
    </xdr:from>
    <xdr:to>
      <xdr:col>7</xdr:col>
      <xdr:colOff>350371</xdr:colOff>
      <xdr:row>94</xdr:row>
      <xdr:rowOff>141120</xdr:rowOff>
    </xdr:to>
    <xdr:graphicFrame>
      <xdr:nvGraphicFramePr>
        <xdr:cNvPr id="11" name="グラフ 9"/>
        <xdr:cNvGraphicFramePr/>
      </xdr:nvGraphicFramePr>
      <xdr:xfrm>
        <a:off x="266443" y="25259131"/>
        <a:ext cx="6916529" cy="2428290"/>
      </xdr:xfrm>
      <a:graphic xmlns:a="http://schemas.openxmlformats.org/drawingml/2006/main">
        <a:graphicData uri="http://schemas.openxmlformats.org/drawingml/2006/chart">
          <c:chart xmlns:c="http://schemas.openxmlformats.org/drawingml/2006/chart" r:id="rId6"/>
        </a:graphicData>
      </a:graphic>
    </xdr:graphicFrame>
    <xdr:clientData/>
  </xdr:twoCellAnchor>
  <xdr:twoCellAnchor>
    <xdr:from>
      <xdr:col>1</xdr:col>
      <xdr:colOff>36980</xdr:colOff>
      <xdr:row>9</xdr:row>
      <xdr:rowOff>167388</xdr:rowOff>
    </xdr:from>
    <xdr:to>
      <xdr:col>2</xdr:col>
      <xdr:colOff>187138</xdr:colOff>
      <xdr:row>10</xdr:row>
      <xdr:rowOff>236022</xdr:rowOff>
    </xdr:to>
    <xdr:sp>
      <xdr:nvSpPr>
        <xdr:cNvPr id="12" name="テキスト ボックス 1"/>
        <xdr:cNvSpPr txBox="1"/>
      </xdr:nvSpPr>
      <xdr:spPr>
        <a:xfrm>
          <a:off x="837080" y="2967738"/>
          <a:ext cx="950259" cy="35438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0</xdr:col>
      <xdr:colOff>0</xdr:colOff>
      <xdr:row>106</xdr:row>
      <xdr:rowOff>193555</xdr:rowOff>
    </xdr:from>
    <xdr:to>
      <xdr:col>7</xdr:col>
      <xdr:colOff>544050</xdr:colOff>
      <xdr:row>128</xdr:row>
      <xdr:rowOff>236346</xdr:rowOff>
    </xdr:to>
    <xdr:graphicFrame>
      <xdr:nvGraphicFramePr>
        <xdr:cNvPr id="13" name="グラフ 17"/>
        <xdr:cNvGraphicFramePr/>
      </xdr:nvGraphicFramePr>
      <xdr:xfrm>
        <a:off x="-309515" y="31397455"/>
        <a:ext cx="7376651" cy="6329292"/>
      </xdr:xfrm>
      <a:graphic xmlns:a="http://schemas.openxmlformats.org/drawingml/2006/main">
        <a:graphicData uri="http://schemas.openxmlformats.org/drawingml/2006/chart">
          <c:chart xmlns:c="http://schemas.openxmlformats.org/drawingml/2006/chart" r:id="rId7"/>
        </a:graphicData>
      </a:graphic>
    </xdr:graphicFrame>
    <xdr:clientData/>
  </xdr:twoCellAnchor>
  <xdr:twoCellAnchor>
    <xdr:from>
      <xdr:col>0</xdr:col>
      <xdr:colOff>171450</xdr:colOff>
      <xdr:row>128</xdr:row>
      <xdr:rowOff>278839</xdr:rowOff>
    </xdr:from>
    <xdr:to>
      <xdr:col>1</xdr:col>
      <xdr:colOff>406802</xdr:colOff>
      <xdr:row>129</xdr:row>
      <xdr:rowOff>273505</xdr:rowOff>
    </xdr:to>
    <xdr:sp>
      <xdr:nvSpPr>
        <xdr:cNvPr id="14" name="テキスト ボックス 1"/>
        <xdr:cNvSpPr txBox="1"/>
      </xdr:nvSpPr>
      <xdr:spPr>
        <a:xfrm>
          <a:off x="171450" y="37769239"/>
          <a:ext cx="1035454"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1</xdr:col>
      <xdr:colOff>14567</xdr:colOff>
      <xdr:row>107</xdr:row>
      <xdr:rowOff>226919</xdr:rowOff>
    </xdr:from>
    <xdr:to>
      <xdr:col>2</xdr:col>
      <xdr:colOff>691402</xdr:colOff>
      <xdr:row>110</xdr:row>
      <xdr:rowOff>14007</xdr:rowOff>
    </xdr:to>
    <xdr:sp>
      <xdr:nvSpPr>
        <xdr:cNvPr id="15" name="テキスト ボックス 18"/>
        <xdr:cNvSpPr txBox="1"/>
      </xdr:nvSpPr>
      <xdr:spPr>
        <a:xfrm>
          <a:off x="814667" y="31716569"/>
          <a:ext cx="1476936" cy="64433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2400" u="none">
              <a:solidFill>
                <a:srgbClr val="00B050"/>
              </a:solidFill>
              <a:uFillTx/>
              <a:latin typeface="HG丸ｺﾞｼｯｸM-PRO"/>
              <a:ea typeface="HG丸ｺﾞｼｯｸM-PRO"/>
              <a:cs typeface="HG丸ｺﾞｼｯｸM-PRO"/>
              <a:sym typeface="HG丸ｺﾞｼｯｸM-PRO"/>
            </a:defRPr>
          </a:pPr>
          <a:r>
            <a:rPr b="0" baseline="0" cap="none" i="0" spc="0" strike="noStrike" sz="2400" u="none">
              <a:solidFill>
                <a:srgbClr val="00B050"/>
              </a:solidFill>
              <a:uFillTx/>
              <a:latin typeface="HG丸ｺﾞｼｯｸM-PRO"/>
              <a:ea typeface="HG丸ｺﾞｼｯｸM-PRO"/>
              <a:cs typeface="HG丸ｺﾞｼｯｸM-PRO"/>
              <a:sym typeface="HG丸ｺﾞｼｯｸM-PRO"/>
            </a:rPr>
            <a:t>男性</a:t>
          </a:r>
        </a:p>
      </xdr:txBody>
    </xdr:sp>
    <xdr:clientData/>
  </xdr:twoCellAnchor>
  <xdr:twoCellAnchor>
    <xdr:from>
      <xdr:col>5</xdr:col>
      <xdr:colOff>977338</xdr:colOff>
      <xdr:row>107</xdr:row>
      <xdr:rowOff>182094</xdr:rowOff>
    </xdr:from>
    <xdr:to>
      <xdr:col>7</xdr:col>
      <xdr:colOff>317195</xdr:colOff>
      <xdr:row>109</xdr:row>
      <xdr:rowOff>254932</xdr:rowOff>
    </xdr:to>
    <xdr:sp>
      <xdr:nvSpPr>
        <xdr:cNvPr id="16" name="テキスト ボックス 19"/>
        <xdr:cNvSpPr txBox="1"/>
      </xdr:nvSpPr>
      <xdr:spPr>
        <a:xfrm>
          <a:off x="5803337" y="31671744"/>
          <a:ext cx="1346459" cy="64433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2400" u="none">
              <a:solidFill>
                <a:srgbClr val="FF0000"/>
              </a:solidFill>
              <a:uFillTx/>
              <a:latin typeface="HG丸ｺﾞｼｯｸM-PRO"/>
              <a:ea typeface="HG丸ｺﾞｼｯｸM-PRO"/>
              <a:cs typeface="HG丸ｺﾞｼｯｸM-PRO"/>
              <a:sym typeface="HG丸ｺﾞｼｯｸM-PRO"/>
            </a:defRPr>
          </a:pPr>
          <a:r>
            <a:rPr b="0" baseline="0" cap="none" i="0" spc="0" strike="noStrike" sz="2400" u="none">
              <a:solidFill>
                <a:srgbClr val="FF0000"/>
              </a:solidFill>
              <a:uFillTx/>
              <a:latin typeface="HG丸ｺﾞｼｯｸM-PRO"/>
              <a:ea typeface="HG丸ｺﾞｼｯｸM-PRO"/>
              <a:cs typeface="HG丸ｺﾞｼｯｸM-PRO"/>
              <a:sym typeface="HG丸ｺﾞｼｯｸM-PRO"/>
            </a:rPr>
            <a:t>女性</a:t>
          </a:r>
        </a:p>
      </xdr:txBody>
    </xdr:sp>
    <xdr:clientData/>
  </xdr:twoCellAnchor>
  <xdr:twoCellAnchor>
    <xdr:from>
      <xdr:col>6</xdr:col>
      <xdr:colOff>529103</xdr:colOff>
      <xdr:row>105</xdr:row>
      <xdr:rowOff>239448</xdr:rowOff>
    </xdr:from>
    <xdr:to>
      <xdr:col>8</xdr:col>
      <xdr:colOff>44041</xdr:colOff>
      <xdr:row>106</xdr:row>
      <xdr:rowOff>234114</xdr:rowOff>
    </xdr:to>
    <xdr:sp>
      <xdr:nvSpPr>
        <xdr:cNvPr id="17" name="テキスト ボックス 1"/>
        <xdr:cNvSpPr txBox="1"/>
      </xdr:nvSpPr>
      <xdr:spPr>
        <a:xfrm>
          <a:off x="6561603" y="31157598"/>
          <a:ext cx="1115139"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0</xdr:col>
      <xdr:colOff>525102</xdr:colOff>
      <xdr:row>9</xdr:row>
      <xdr:rowOff>47163</xdr:rowOff>
    </xdr:from>
    <xdr:to>
      <xdr:col>7</xdr:col>
      <xdr:colOff>467141</xdr:colOff>
      <xdr:row>25</xdr:row>
      <xdr:rowOff>69965</xdr:rowOff>
    </xdr:to>
    <xdr:graphicFrame>
      <xdr:nvGraphicFramePr>
        <xdr:cNvPr id="18" name="グラフ 15"/>
        <xdr:cNvGraphicFramePr/>
      </xdr:nvGraphicFramePr>
      <xdr:xfrm>
        <a:off x="525102" y="2847513"/>
        <a:ext cx="6774640" cy="4594803"/>
      </xdr:xfrm>
      <a:graphic xmlns:a="http://schemas.openxmlformats.org/drawingml/2006/main">
        <a:graphicData uri="http://schemas.openxmlformats.org/drawingml/2006/chart">
          <c:chart xmlns:c="http://schemas.openxmlformats.org/drawingml/2006/chart" r:id="rId8"/>
        </a:graphicData>
      </a:graphic>
    </xdr:graphicFrame>
    <xdr:clientData/>
  </xdr:twoCellAnchor>
  <xdr:twoCellAnchor>
    <xdr:from>
      <xdr:col>0</xdr:col>
      <xdr:colOff>599859</xdr:colOff>
      <xdr:row>9</xdr:row>
      <xdr:rowOff>75388</xdr:rowOff>
    </xdr:from>
    <xdr:to>
      <xdr:col>1</xdr:col>
      <xdr:colOff>690541</xdr:colOff>
      <xdr:row>10</xdr:row>
      <xdr:rowOff>70054</xdr:rowOff>
    </xdr:to>
    <xdr:sp>
      <xdr:nvSpPr>
        <xdr:cNvPr id="19" name="テキスト ボックス 13"/>
        <xdr:cNvSpPr txBox="1"/>
      </xdr:nvSpPr>
      <xdr:spPr>
        <a:xfrm>
          <a:off x="599859" y="2875738"/>
          <a:ext cx="890783"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7</xdr:col>
      <xdr:colOff>437029</xdr:colOff>
      <xdr:row>20</xdr:row>
      <xdr:rowOff>149411</xdr:rowOff>
    </xdr:from>
    <xdr:to>
      <xdr:col>8</xdr:col>
      <xdr:colOff>561468</xdr:colOff>
      <xdr:row>25</xdr:row>
      <xdr:rowOff>143695</xdr:rowOff>
    </xdr:to>
    <xdr:pic>
      <xdr:nvPicPr>
        <xdr:cNvPr id="20" name="図 11" descr="図 11"/>
        <xdr:cNvPicPr>
          <a:picLocks noChangeAspect="1"/>
        </xdr:cNvPicPr>
      </xdr:nvPicPr>
      <xdr:blipFill>
        <a:blip r:embed="rId9">
          <a:extLst/>
        </a:blip>
        <a:stretch>
          <a:fillRect/>
        </a:stretch>
      </xdr:blipFill>
      <xdr:spPr>
        <a:xfrm>
          <a:off x="7269629" y="6093011"/>
          <a:ext cx="924540" cy="1423035"/>
        </a:xfrm>
        <a:prstGeom prst="rect">
          <a:avLst/>
        </a:prstGeom>
        <a:ln w="12700" cap="flat">
          <a:noFill/>
          <a:miter lim="400000"/>
        </a:ln>
        <a:effectLst/>
      </xdr:spPr>
    </xdr:pic>
    <xdr:clientData/>
  </xdr:twoCellAnchor>
  <xdr:twoCellAnchor>
    <xdr:from>
      <xdr:col>0</xdr:col>
      <xdr:colOff>0</xdr:colOff>
      <xdr:row>139</xdr:row>
      <xdr:rowOff>32505</xdr:rowOff>
    </xdr:from>
    <xdr:to>
      <xdr:col>6</xdr:col>
      <xdr:colOff>362786</xdr:colOff>
      <xdr:row>160</xdr:row>
      <xdr:rowOff>41272</xdr:rowOff>
    </xdr:to>
    <xdr:graphicFrame>
      <xdr:nvGraphicFramePr>
        <xdr:cNvPr id="21" name="グラフ 16"/>
        <xdr:cNvGraphicFramePr/>
      </xdr:nvGraphicFramePr>
      <xdr:xfrm>
        <a:off x="-332808" y="40763945"/>
        <a:ext cx="6395287" cy="6009518"/>
      </xdr:xfrm>
      <a:graphic xmlns:a="http://schemas.openxmlformats.org/drawingml/2006/main">
        <a:graphicData uri="http://schemas.openxmlformats.org/drawingml/2006/chart">
          <c:chart xmlns:c="http://schemas.openxmlformats.org/drawingml/2006/chart" r:id="rId10"/>
        </a:graphicData>
      </a:graphic>
    </xdr:graphicFrame>
    <xdr:clientData/>
  </xdr:twoCellAnchor>
  <xdr:twoCellAnchor>
    <xdr:from>
      <xdr:col>0</xdr:col>
      <xdr:colOff>205070</xdr:colOff>
      <xdr:row>160</xdr:row>
      <xdr:rowOff>68735</xdr:rowOff>
    </xdr:from>
    <xdr:to>
      <xdr:col>1</xdr:col>
      <xdr:colOff>287096</xdr:colOff>
      <xdr:row>161</xdr:row>
      <xdr:rowOff>63401</xdr:rowOff>
    </xdr:to>
    <xdr:sp>
      <xdr:nvSpPr>
        <xdr:cNvPr id="22" name="テキスト ボックス 1"/>
        <xdr:cNvSpPr txBox="1"/>
      </xdr:nvSpPr>
      <xdr:spPr>
        <a:xfrm>
          <a:off x="205069" y="46800925"/>
          <a:ext cx="882127"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0</xdr:col>
      <xdr:colOff>597272</xdr:colOff>
      <xdr:row>140</xdr:row>
      <xdr:rowOff>183966</xdr:rowOff>
    </xdr:from>
    <xdr:to>
      <xdr:col>2</xdr:col>
      <xdr:colOff>590549</xdr:colOff>
      <xdr:row>142</xdr:row>
      <xdr:rowOff>256801</xdr:rowOff>
    </xdr:to>
    <xdr:sp>
      <xdr:nvSpPr>
        <xdr:cNvPr id="23" name="テキスト ボックス 22"/>
        <xdr:cNvSpPr txBox="1"/>
      </xdr:nvSpPr>
      <xdr:spPr>
        <a:xfrm>
          <a:off x="597271" y="41201156"/>
          <a:ext cx="1593479" cy="64433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2400" u="none">
              <a:solidFill>
                <a:srgbClr val="00B050"/>
              </a:solidFill>
              <a:uFillTx/>
              <a:latin typeface="HG丸ｺﾞｼｯｸM-PRO"/>
              <a:ea typeface="HG丸ｺﾞｼｯｸM-PRO"/>
              <a:cs typeface="HG丸ｺﾞｼｯｸM-PRO"/>
              <a:sym typeface="HG丸ｺﾞｼｯｸM-PRO"/>
            </a:defRPr>
          </a:pPr>
          <a:r>
            <a:rPr b="0" baseline="0" cap="none" i="0" spc="0" strike="noStrike" sz="2400" u="none">
              <a:solidFill>
                <a:srgbClr val="00B050"/>
              </a:solidFill>
              <a:uFillTx/>
              <a:latin typeface="HG丸ｺﾞｼｯｸM-PRO"/>
              <a:ea typeface="HG丸ｺﾞｼｯｸM-PRO"/>
              <a:cs typeface="HG丸ｺﾞｼｯｸM-PRO"/>
              <a:sym typeface="HG丸ｺﾞｼｯｸM-PRO"/>
            </a:rPr>
            <a:t>男性</a:t>
          </a:r>
        </a:p>
      </xdr:txBody>
    </xdr:sp>
    <xdr:clientData/>
  </xdr:twoCellAnchor>
  <xdr:twoCellAnchor>
    <xdr:from>
      <xdr:col>5</xdr:col>
      <xdr:colOff>899834</xdr:colOff>
      <xdr:row>140</xdr:row>
      <xdr:rowOff>72022</xdr:rowOff>
    </xdr:from>
    <xdr:to>
      <xdr:col>7</xdr:col>
      <xdr:colOff>330778</xdr:colOff>
      <xdr:row>142</xdr:row>
      <xdr:rowOff>214665</xdr:rowOff>
    </xdr:to>
    <xdr:sp>
      <xdr:nvSpPr>
        <xdr:cNvPr id="24" name="テキスト ボックス 23"/>
        <xdr:cNvSpPr txBox="1"/>
      </xdr:nvSpPr>
      <xdr:spPr>
        <a:xfrm>
          <a:off x="5725834" y="41089212"/>
          <a:ext cx="1437545" cy="714144"/>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2400" u="none">
              <a:solidFill>
                <a:srgbClr val="FF0000"/>
              </a:solidFill>
              <a:uFillTx/>
              <a:latin typeface="HG丸ｺﾞｼｯｸM-PRO"/>
              <a:ea typeface="HG丸ｺﾞｼｯｸM-PRO"/>
              <a:cs typeface="HG丸ｺﾞｼｯｸM-PRO"/>
              <a:sym typeface="HG丸ｺﾞｼｯｸM-PRO"/>
            </a:defRPr>
          </a:pPr>
          <a:r>
            <a:rPr b="0" baseline="0" cap="none" i="0" spc="0" strike="noStrike" sz="2400" u="none">
              <a:solidFill>
                <a:srgbClr val="FF0000"/>
              </a:solidFill>
              <a:uFillTx/>
              <a:latin typeface="HG丸ｺﾞｼｯｸM-PRO"/>
              <a:ea typeface="HG丸ｺﾞｼｯｸM-PRO"/>
              <a:cs typeface="HG丸ｺﾞｼｯｸM-PRO"/>
              <a:sym typeface="HG丸ｺﾞｼｯｸM-PRO"/>
            </a:rPr>
            <a:t>女性</a:t>
          </a:r>
        </a:p>
      </xdr:txBody>
    </xdr:sp>
    <xdr:clientData/>
  </xdr:twoCellAnchor>
  <xdr:twoCellAnchor>
    <xdr:from>
      <xdr:col>6</xdr:col>
      <xdr:colOff>321083</xdr:colOff>
      <xdr:row>138</xdr:row>
      <xdr:rowOff>83801</xdr:rowOff>
    </xdr:from>
    <xdr:to>
      <xdr:col>7</xdr:col>
      <xdr:colOff>528652</xdr:colOff>
      <xdr:row>139</xdr:row>
      <xdr:rowOff>78467</xdr:rowOff>
    </xdr:to>
    <xdr:sp>
      <xdr:nvSpPr>
        <xdr:cNvPr id="25" name="テキスト ボックス 1"/>
        <xdr:cNvSpPr txBox="1"/>
      </xdr:nvSpPr>
      <xdr:spPr>
        <a:xfrm>
          <a:off x="6353583" y="40529491"/>
          <a:ext cx="1007670"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wsDr>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439127</xdr:colOff>
      <xdr:row>13</xdr:row>
      <xdr:rowOff>191885</xdr:rowOff>
    </xdr:from>
    <xdr:to>
      <xdr:col>7</xdr:col>
      <xdr:colOff>638441</xdr:colOff>
      <xdr:row>30</xdr:row>
      <xdr:rowOff>7017</xdr:rowOff>
    </xdr:to>
    <xdr:graphicFrame>
      <xdr:nvGraphicFramePr>
        <xdr:cNvPr id="27" name="グラフ 27"/>
        <xdr:cNvGraphicFramePr/>
      </xdr:nvGraphicFramePr>
      <xdr:xfrm>
        <a:off x="439127" y="4268585"/>
        <a:ext cx="6193715" cy="4672883"/>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7</xdr:col>
      <xdr:colOff>638736</xdr:colOff>
      <xdr:row>95</xdr:row>
      <xdr:rowOff>212911</xdr:rowOff>
    </xdr:from>
    <xdr:to>
      <xdr:col>8</xdr:col>
      <xdr:colOff>680131</xdr:colOff>
      <xdr:row>99</xdr:row>
      <xdr:rowOff>225592</xdr:rowOff>
    </xdr:to>
    <xdr:pic>
      <xdr:nvPicPr>
        <xdr:cNvPr id="28" name="図 16" descr="図 16"/>
        <xdr:cNvPicPr>
          <a:picLocks noChangeAspect="1"/>
        </xdr:cNvPicPr>
      </xdr:nvPicPr>
      <xdr:blipFill>
        <a:blip r:embed="rId2">
          <a:extLst/>
        </a:blip>
        <a:stretch>
          <a:fillRect/>
        </a:stretch>
      </xdr:blipFill>
      <xdr:spPr>
        <a:xfrm>
          <a:off x="6633136" y="28292611"/>
          <a:ext cx="841496" cy="1155682"/>
        </a:xfrm>
        <a:prstGeom prst="rect">
          <a:avLst/>
        </a:prstGeom>
        <a:ln w="12700" cap="flat">
          <a:noFill/>
          <a:miter lim="400000"/>
        </a:ln>
        <a:effectLst/>
      </xdr:spPr>
    </xdr:pic>
    <xdr:clientData/>
  </xdr:twoCellAnchor>
  <xdr:twoCellAnchor>
    <xdr:from>
      <xdr:col>0</xdr:col>
      <xdr:colOff>246829</xdr:colOff>
      <xdr:row>42</xdr:row>
      <xdr:rowOff>206138</xdr:rowOff>
    </xdr:from>
    <xdr:to>
      <xdr:col>7</xdr:col>
      <xdr:colOff>339629</xdr:colOff>
      <xdr:row>52</xdr:row>
      <xdr:rowOff>266252</xdr:rowOff>
    </xdr:to>
    <xdr:graphicFrame>
      <xdr:nvGraphicFramePr>
        <xdr:cNvPr id="29" name="グラフ 3"/>
        <xdr:cNvGraphicFramePr/>
      </xdr:nvGraphicFramePr>
      <xdr:xfrm>
        <a:off x="246829" y="12798188"/>
        <a:ext cx="6087201" cy="2917615"/>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0</xdr:col>
      <xdr:colOff>209052</xdr:colOff>
      <xdr:row>42</xdr:row>
      <xdr:rowOff>53944</xdr:rowOff>
    </xdr:from>
    <xdr:to>
      <xdr:col>1</xdr:col>
      <xdr:colOff>387395</xdr:colOff>
      <xdr:row>43</xdr:row>
      <xdr:rowOff>48610</xdr:rowOff>
    </xdr:to>
    <xdr:sp>
      <xdr:nvSpPr>
        <xdr:cNvPr id="30" name="テキスト ボックス 13"/>
        <xdr:cNvSpPr txBox="1"/>
      </xdr:nvSpPr>
      <xdr:spPr>
        <a:xfrm>
          <a:off x="209052" y="12645994"/>
          <a:ext cx="978444"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0</xdr:col>
      <xdr:colOff>289170</xdr:colOff>
      <xdr:row>53</xdr:row>
      <xdr:rowOff>262168</xdr:rowOff>
    </xdr:from>
    <xdr:to>
      <xdr:col>7</xdr:col>
      <xdr:colOff>339166</xdr:colOff>
      <xdr:row>64</xdr:row>
      <xdr:rowOff>36531</xdr:rowOff>
    </xdr:to>
    <xdr:graphicFrame>
      <xdr:nvGraphicFramePr>
        <xdr:cNvPr id="31" name="グラフ 4"/>
        <xdr:cNvGraphicFramePr/>
      </xdr:nvGraphicFramePr>
      <xdr:xfrm>
        <a:off x="289170" y="15997468"/>
        <a:ext cx="6044397" cy="2917614"/>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0</xdr:col>
      <xdr:colOff>209052</xdr:colOff>
      <xdr:row>53</xdr:row>
      <xdr:rowOff>109974</xdr:rowOff>
    </xdr:from>
    <xdr:to>
      <xdr:col>1</xdr:col>
      <xdr:colOff>387395</xdr:colOff>
      <xdr:row>54</xdr:row>
      <xdr:rowOff>104640</xdr:rowOff>
    </xdr:to>
    <xdr:sp>
      <xdr:nvSpPr>
        <xdr:cNvPr id="32" name="テキスト ボックス 13"/>
        <xdr:cNvSpPr txBox="1"/>
      </xdr:nvSpPr>
      <xdr:spPr>
        <a:xfrm>
          <a:off x="209052" y="15845274"/>
          <a:ext cx="978444"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0</xdr:col>
      <xdr:colOff>199206</xdr:colOff>
      <xdr:row>76</xdr:row>
      <xdr:rowOff>34047</xdr:rowOff>
    </xdr:from>
    <xdr:to>
      <xdr:col>7</xdr:col>
      <xdr:colOff>688546</xdr:colOff>
      <xdr:row>85</xdr:row>
      <xdr:rowOff>279058</xdr:rowOff>
    </xdr:to>
    <xdr:graphicFrame>
      <xdr:nvGraphicFramePr>
        <xdr:cNvPr id="33" name="グラフ 6"/>
        <xdr:cNvGraphicFramePr/>
      </xdr:nvGraphicFramePr>
      <xdr:xfrm>
        <a:off x="199206" y="22684497"/>
        <a:ext cx="6483741" cy="2816761"/>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0</xdr:col>
      <xdr:colOff>199206</xdr:colOff>
      <xdr:row>86</xdr:row>
      <xdr:rowOff>262168</xdr:rowOff>
    </xdr:from>
    <xdr:to>
      <xdr:col>7</xdr:col>
      <xdr:colOff>688546</xdr:colOff>
      <xdr:row>96</xdr:row>
      <xdr:rowOff>227031</xdr:rowOff>
    </xdr:to>
    <xdr:graphicFrame>
      <xdr:nvGraphicFramePr>
        <xdr:cNvPr id="34" name="グラフ 8"/>
        <xdr:cNvGraphicFramePr/>
      </xdr:nvGraphicFramePr>
      <xdr:xfrm>
        <a:off x="199206" y="25770118"/>
        <a:ext cx="6483741" cy="2822364"/>
      </xdr:xfrm>
      <a:graphic xmlns:a="http://schemas.openxmlformats.org/drawingml/2006/main">
        <a:graphicData uri="http://schemas.openxmlformats.org/drawingml/2006/chart">
          <c:chart xmlns:c="http://schemas.openxmlformats.org/drawingml/2006/chart" r:id="rId6"/>
        </a:graphicData>
      </a:graphic>
    </xdr:graphicFrame>
    <xdr:clientData/>
  </xdr:twoCellAnchor>
  <xdr:twoCellAnchor>
    <xdr:from>
      <xdr:col>0</xdr:col>
      <xdr:colOff>608479</xdr:colOff>
      <xdr:row>13</xdr:row>
      <xdr:rowOff>275710</xdr:rowOff>
    </xdr:from>
    <xdr:to>
      <xdr:col>2</xdr:col>
      <xdr:colOff>75078</xdr:colOff>
      <xdr:row>15</xdr:row>
      <xdr:rowOff>58595</xdr:rowOff>
    </xdr:to>
    <xdr:sp>
      <xdr:nvSpPr>
        <xdr:cNvPr id="35" name="テキスト ボックス 13"/>
        <xdr:cNvSpPr txBox="1"/>
      </xdr:nvSpPr>
      <xdr:spPr>
        <a:xfrm>
          <a:off x="608478" y="4352410"/>
          <a:ext cx="1066801" cy="35438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8</xdr:col>
      <xdr:colOff>43584</xdr:colOff>
      <xdr:row>29</xdr:row>
      <xdr:rowOff>23662</xdr:rowOff>
    </xdr:from>
    <xdr:to>
      <xdr:col>8</xdr:col>
      <xdr:colOff>663950</xdr:colOff>
      <xdr:row>32</xdr:row>
      <xdr:rowOff>254393</xdr:rowOff>
    </xdr:to>
    <xdr:pic>
      <xdr:nvPicPr>
        <xdr:cNvPr id="36" name="図 14" descr="図 14"/>
        <xdr:cNvPicPr>
          <a:picLocks noChangeAspect="1"/>
        </xdr:cNvPicPr>
      </xdr:nvPicPr>
      <xdr:blipFill>
        <a:blip r:embed="rId7">
          <a:extLst/>
        </a:blip>
        <a:stretch>
          <a:fillRect/>
        </a:stretch>
      </xdr:blipFill>
      <xdr:spPr>
        <a:xfrm>
          <a:off x="6838084" y="8672362"/>
          <a:ext cx="620367" cy="1087981"/>
        </a:xfrm>
        <a:prstGeom prst="rect">
          <a:avLst/>
        </a:prstGeom>
        <a:ln w="12700" cap="flat">
          <a:noFill/>
          <a:miter lim="400000"/>
        </a:ln>
        <a:effectLst/>
      </xdr:spPr>
    </xdr:pic>
    <xdr:clientData/>
  </xdr:twoCellAnchor>
  <xdr:twoCellAnchor>
    <xdr:from>
      <xdr:col>7</xdr:col>
      <xdr:colOff>537884</xdr:colOff>
      <xdr:row>61</xdr:row>
      <xdr:rowOff>156881</xdr:rowOff>
    </xdr:from>
    <xdr:to>
      <xdr:col>8</xdr:col>
      <xdr:colOff>634800</xdr:colOff>
      <xdr:row>66</xdr:row>
      <xdr:rowOff>130494</xdr:rowOff>
    </xdr:to>
    <xdr:pic>
      <xdr:nvPicPr>
        <xdr:cNvPr id="37" name="図 15" descr="図 15"/>
        <xdr:cNvPicPr>
          <a:picLocks noChangeAspect="1"/>
        </xdr:cNvPicPr>
      </xdr:nvPicPr>
      <xdr:blipFill>
        <a:blip r:embed="rId8">
          <a:extLst/>
        </a:blip>
        <a:stretch>
          <a:fillRect/>
        </a:stretch>
      </xdr:blipFill>
      <xdr:spPr>
        <a:xfrm>
          <a:off x="6532284" y="18178181"/>
          <a:ext cx="897017" cy="1402364"/>
        </a:xfrm>
        <a:prstGeom prst="rect">
          <a:avLst/>
        </a:prstGeom>
        <a:ln w="12700" cap="flat">
          <a:noFill/>
          <a:miter lim="400000"/>
        </a:ln>
        <a:effectLst/>
      </xdr:spPr>
    </xdr:pic>
    <xdr:clientData/>
  </xdr:twoCellAnchor>
  <xdr:twoCellAnchor>
    <xdr:from>
      <xdr:col>0</xdr:col>
      <xdr:colOff>0</xdr:colOff>
      <xdr:row>107</xdr:row>
      <xdr:rowOff>72430</xdr:rowOff>
    </xdr:from>
    <xdr:to>
      <xdr:col>8</xdr:col>
      <xdr:colOff>323198</xdr:colOff>
      <xdr:row>130</xdr:row>
      <xdr:rowOff>212302</xdr:rowOff>
    </xdr:to>
    <xdr:graphicFrame>
      <xdr:nvGraphicFramePr>
        <xdr:cNvPr id="38" name="グラフ 18"/>
        <xdr:cNvGraphicFramePr/>
      </xdr:nvGraphicFramePr>
      <xdr:xfrm>
        <a:off x="-290915" y="31876405"/>
        <a:ext cx="7117699" cy="6712123"/>
      </xdr:xfrm>
      <a:graphic xmlns:a="http://schemas.openxmlformats.org/drawingml/2006/main">
        <a:graphicData uri="http://schemas.openxmlformats.org/drawingml/2006/chart">
          <c:chart xmlns:c="http://schemas.openxmlformats.org/drawingml/2006/chart" r:id="rId9"/>
        </a:graphicData>
      </a:graphic>
    </xdr:graphicFrame>
    <xdr:clientData/>
  </xdr:twoCellAnchor>
  <xdr:twoCellAnchor>
    <xdr:from>
      <xdr:col>0</xdr:col>
      <xdr:colOff>205067</xdr:colOff>
      <xdr:row>130</xdr:row>
      <xdr:rowOff>272790</xdr:rowOff>
    </xdr:from>
    <xdr:to>
      <xdr:col>1</xdr:col>
      <xdr:colOff>399962</xdr:colOff>
      <xdr:row>131</xdr:row>
      <xdr:rowOff>267455</xdr:rowOff>
    </xdr:to>
    <xdr:sp>
      <xdr:nvSpPr>
        <xdr:cNvPr id="39" name="テキスト ボックス 1"/>
        <xdr:cNvSpPr txBox="1"/>
      </xdr:nvSpPr>
      <xdr:spPr>
        <a:xfrm>
          <a:off x="205067" y="38649015"/>
          <a:ext cx="994995" cy="28041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7</xdr:col>
      <xdr:colOff>227479</xdr:colOff>
      <xdr:row>106</xdr:row>
      <xdr:rowOff>156023</xdr:rowOff>
    </xdr:from>
    <xdr:to>
      <xdr:col>8</xdr:col>
      <xdr:colOff>377413</xdr:colOff>
      <xdr:row>107</xdr:row>
      <xdr:rowOff>150689</xdr:rowOff>
    </xdr:to>
    <xdr:sp>
      <xdr:nvSpPr>
        <xdr:cNvPr id="40" name="テキスト ボックス 1"/>
        <xdr:cNvSpPr txBox="1"/>
      </xdr:nvSpPr>
      <xdr:spPr>
        <a:xfrm>
          <a:off x="6221879" y="31674248"/>
          <a:ext cx="950035"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0</xdr:col>
      <xdr:colOff>574861</xdr:colOff>
      <xdr:row>108</xdr:row>
      <xdr:rowOff>51358</xdr:rowOff>
    </xdr:from>
    <xdr:to>
      <xdr:col>2</xdr:col>
      <xdr:colOff>568139</xdr:colOff>
      <xdr:row>110</xdr:row>
      <xdr:rowOff>124196</xdr:rowOff>
    </xdr:to>
    <xdr:sp>
      <xdr:nvSpPr>
        <xdr:cNvPr id="41" name="テキスト ボックス 20"/>
        <xdr:cNvSpPr txBox="1"/>
      </xdr:nvSpPr>
      <xdr:spPr>
        <a:xfrm>
          <a:off x="574861" y="32141083"/>
          <a:ext cx="1593479" cy="64433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2400" u="none">
              <a:solidFill>
                <a:srgbClr val="00B050"/>
              </a:solidFill>
              <a:uFillTx/>
              <a:latin typeface="HG丸ｺﾞｼｯｸM-PRO"/>
              <a:ea typeface="HG丸ｺﾞｼｯｸM-PRO"/>
              <a:cs typeface="HG丸ｺﾞｼｯｸM-PRO"/>
              <a:sym typeface="HG丸ｺﾞｼｯｸM-PRO"/>
            </a:defRPr>
          </a:pPr>
          <a:r>
            <a:rPr b="0" baseline="0" cap="none" i="0" spc="0" strike="noStrike" sz="2400" u="none">
              <a:solidFill>
                <a:srgbClr val="00B050"/>
              </a:solidFill>
              <a:uFillTx/>
              <a:latin typeface="HG丸ｺﾞｼｯｸM-PRO"/>
              <a:ea typeface="HG丸ｺﾞｼｯｸM-PRO"/>
              <a:cs typeface="HG丸ｺﾞｼｯｸM-PRO"/>
              <a:sym typeface="HG丸ｺﾞｼｯｸM-PRO"/>
            </a:rPr>
            <a:t>男性</a:t>
          </a:r>
        </a:p>
      </xdr:txBody>
    </xdr:sp>
    <xdr:clientData/>
  </xdr:twoCellAnchor>
  <xdr:twoCellAnchor>
    <xdr:from>
      <xdr:col>6</xdr:col>
      <xdr:colOff>429185</xdr:colOff>
      <xdr:row>108</xdr:row>
      <xdr:rowOff>74395</xdr:rowOff>
    </xdr:from>
    <xdr:to>
      <xdr:col>8</xdr:col>
      <xdr:colOff>25524</xdr:colOff>
      <xdr:row>110</xdr:row>
      <xdr:rowOff>147233</xdr:rowOff>
    </xdr:to>
    <xdr:sp>
      <xdr:nvSpPr>
        <xdr:cNvPr id="42" name="テキスト ボックス 21"/>
        <xdr:cNvSpPr txBox="1"/>
      </xdr:nvSpPr>
      <xdr:spPr>
        <a:xfrm>
          <a:off x="5623485" y="32164120"/>
          <a:ext cx="1196540" cy="64433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2400" u="none">
              <a:solidFill>
                <a:srgbClr val="FF0000"/>
              </a:solidFill>
              <a:uFillTx/>
              <a:latin typeface="HG丸ｺﾞｼｯｸM-PRO"/>
              <a:ea typeface="HG丸ｺﾞｼｯｸM-PRO"/>
              <a:cs typeface="HG丸ｺﾞｼｯｸM-PRO"/>
              <a:sym typeface="HG丸ｺﾞｼｯｸM-PRO"/>
            </a:defRPr>
          </a:pPr>
          <a:r>
            <a:rPr b="0" baseline="0" cap="none" i="0" spc="0" strike="noStrike" sz="2400" u="none">
              <a:solidFill>
                <a:srgbClr val="FF0000"/>
              </a:solidFill>
              <a:uFillTx/>
              <a:latin typeface="HG丸ｺﾞｼｯｸM-PRO"/>
              <a:ea typeface="HG丸ｺﾞｼｯｸM-PRO"/>
              <a:cs typeface="HG丸ｺﾞｼｯｸM-PRO"/>
              <a:sym typeface="HG丸ｺﾞｼｯｸM-PRO"/>
            </a:rPr>
            <a:t>女性</a:t>
          </a:r>
        </a:p>
      </xdr:txBody>
    </xdr:sp>
    <xdr:clientData/>
  </xdr:twoCellAnchor>
  <xdr:twoCellAnchor>
    <xdr:from>
      <xdr:col>0</xdr:col>
      <xdr:colOff>0</xdr:colOff>
      <xdr:row>141</xdr:row>
      <xdr:rowOff>149640</xdr:rowOff>
    </xdr:from>
    <xdr:to>
      <xdr:col>8</xdr:col>
      <xdr:colOff>312599</xdr:colOff>
      <xdr:row>164</xdr:row>
      <xdr:rowOff>285006</xdr:rowOff>
    </xdr:to>
    <xdr:graphicFrame>
      <xdr:nvGraphicFramePr>
        <xdr:cNvPr id="43" name="グラフ 22"/>
        <xdr:cNvGraphicFramePr/>
      </xdr:nvGraphicFramePr>
      <xdr:xfrm>
        <a:off x="-269119" y="41669115"/>
        <a:ext cx="7107101" cy="6707617"/>
      </xdr:xfrm>
      <a:graphic xmlns:a="http://schemas.openxmlformats.org/drawingml/2006/main">
        <a:graphicData uri="http://schemas.openxmlformats.org/drawingml/2006/chart">
          <c:chart xmlns:c="http://schemas.openxmlformats.org/drawingml/2006/chart" r:id="rId10"/>
        </a:graphicData>
      </a:graphic>
    </xdr:graphicFrame>
    <xdr:clientData/>
  </xdr:twoCellAnchor>
  <xdr:twoCellAnchor>
    <xdr:from>
      <xdr:col>0</xdr:col>
      <xdr:colOff>227478</xdr:colOff>
      <xdr:row>165</xdr:row>
      <xdr:rowOff>59532</xdr:rowOff>
    </xdr:from>
    <xdr:to>
      <xdr:col>1</xdr:col>
      <xdr:colOff>420717</xdr:colOff>
      <xdr:row>166</xdr:row>
      <xdr:rowOff>54198</xdr:rowOff>
    </xdr:to>
    <xdr:sp>
      <xdr:nvSpPr>
        <xdr:cNvPr id="44" name="テキスト ボックス 1"/>
        <xdr:cNvSpPr txBox="1"/>
      </xdr:nvSpPr>
      <xdr:spPr>
        <a:xfrm>
          <a:off x="227478" y="48437007"/>
          <a:ext cx="993340"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7</xdr:col>
      <xdr:colOff>100976</xdr:colOff>
      <xdr:row>140</xdr:row>
      <xdr:rowOff>212282</xdr:rowOff>
    </xdr:from>
    <xdr:to>
      <xdr:col>8</xdr:col>
      <xdr:colOff>294215</xdr:colOff>
      <xdr:row>141</xdr:row>
      <xdr:rowOff>206948</xdr:rowOff>
    </xdr:to>
    <xdr:sp>
      <xdr:nvSpPr>
        <xdr:cNvPr id="45" name="テキスト ボックス 1"/>
        <xdr:cNvSpPr txBox="1"/>
      </xdr:nvSpPr>
      <xdr:spPr>
        <a:xfrm>
          <a:off x="6095376" y="41446007"/>
          <a:ext cx="993340"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6</xdr:col>
      <xdr:colOff>511113</xdr:colOff>
      <xdr:row>130</xdr:row>
      <xdr:rowOff>254000</xdr:rowOff>
    </xdr:from>
    <xdr:to>
      <xdr:col>8</xdr:col>
      <xdr:colOff>632566</xdr:colOff>
      <xdr:row>134</xdr:row>
      <xdr:rowOff>204768</xdr:rowOff>
    </xdr:to>
    <xdr:pic>
      <xdr:nvPicPr>
        <xdr:cNvPr id="46" name="図 23" descr="図 23"/>
        <xdr:cNvPicPr>
          <a:picLocks noChangeAspect="1"/>
        </xdr:cNvPicPr>
      </xdr:nvPicPr>
      <xdr:blipFill>
        <a:blip r:embed="rId11">
          <a:extLst/>
        </a:blip>
        <a:stretch>
          <a:fillRect/>
        </a:stretch>
      </xdr:blipFill>
      <xdr:spPr>
        <a:xfrm>
          <a:off x="5705412" y="38630225"/>
          <a:ext cx="1721655" cy="1093769"/>
        </a:xfrm>
        <a:prstGeom prst="rect">
          <a:avLst/>
        </a:prstGeom>
        <a:ln w="12700" cap="flat">
          <a:noFill/>
          <a:miter lim="400000"/>
        </a:ln>
        <a:effectLst/>
      </xdr:spPr>
    </xdr:pic>
    <xdr:clientData/>
  </xdr:twoCellAnchor>
  <xdr:twoCellAnchor>
    <xdr:from>
      <xdr:col>6</xdr:col>
      <xdr:colOff>568387</xdr:colOff>
      <xdr:row>164</xdr:row>
      <xdr:rowOff>283883</xdr:rowOff>
    </xdr:from>
    <xdr:to>
      <xdr:col>8</xdr:col>
      <xdr:colOff>689840</xdr:colOff>
      <xdr:row>168</xdr:row>
      <xdr:rowOff>229049</xdr:rowOff>
    </xdr:to>
    <xdr:pic>
      <xdr:nvPicPr>
        <xdr:cNvPr id="47" name="図 24" descr="図 24"/>
        <xdr:cNvPicPr>
          <a:picLocks noChangeAspect="1"/>
        </xdr:cNvPicPr>
      </xdr:nvPicPr>
      <xdr:blipFill>
        <a:blip r:embed="rId11">
          <a:extLst/>
        </a:blip>
        <a:stretch>
          <a:fillRect/>
        </a:stretch>
      </xdr:blipFill>
      <xdr:spPr>
        <a:xfrm>
          <a:off x="5762687" y="48375608"/>
          <a:ext cx="1721654" cy="1088167"/>
        </a:xfrm>
        <a:prstGeom prst="rect">
          <a:avLst/>
        </a:prstGeom>
        <a:ln w="12700" cap="flat">
          <a:noFill/>
          <a:miter lim="400000"/>
        </a:ln>
        <a:effectLst/>
      </xdr:spPr>
    </xdr:pic>
    <xdr:clientData/>
  </xdr:twoCellAnchor>
  <xdr:twoCellAnchor>
    <xdr:from>
      <xdr:col>0</xdr:col>
      <xdr:colOff>586067</xdr:colOff>
      <xdr:row>142</xdr:row>
      <xdr:rowOff>148057</xdr:rowOff>
    </xdr:from>
    <xdr:to>
      <xdr:col>2</xdr:col>
      <xdr:colOff>579345</xdr:colOff>
      <xdr:row>144</xdr:row>
      <xdr:rowOff>227339</xdr:rowOff>
    </xdr:to>
    <xdr:sp>
      <xdr:nvSpPr>
        <xdr:cNvPr id="48" name="テキスト ボックス 25"/>
        <xdr:cNvSpPr txBox="1"/>
      </xdr:nvSpPr>
      <xdr:spPr>
        <a:xfrm>
          <a:off x="586067" y="41953282"/>
          <a:ext cx="1593479" cy="650783"/>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2400" u="none">
              <a:solidFill>
                <a:srgbClr val="00B050"/>
              </a:solidFill>
              <a:uFillTx/>
              <a:latin typeface="HG丸ｺﾞｼｯｸM-PRO"/>
              <a:ea typeface="HG丸ｺﾞｼｯｸM-PRO"/>
              <a:cs typeface="HG丸ｺﾞｼｯｸM-PRO"/>
              <a:sym typeface="HG丸ｺﾞｼｯｸM-PRO"/>
            </a:defRPr>
          </a:pPr>
          <a:r>
            <a:rPr b="0" baseline="0" cap="none" i="0" spc="0" strike="noStrike" sz="2400" u="none">
              <a:solidFill>
                <a:srgbClr val="00B050"/>
              </a:solidFill>
              <a:uFillTx/>
              <a:latin typeface="HG丸ｺﾞｼｯｸM-PRO"/>
              <a:ea typeface="HG丸ｺﾞｼｯｸM-PRO"/>
              <a:cs typeface="HG丸ｺﾞｼｯｸM-PRO"/>
              <a:sym typeface="HG丸ｺﾞｼｯｸM-PRO"/>
            </a:rPr>
            <a:t>男性</a:t>
          </a:r>
        </a:p>
      </xdr:txBody>
    </xdr:sp>
    <xdr:clientData/>
  </xdr:twoCellAnchor>
  <xdr:twoCellAnchor>
    <xdr:from>
      <xdr:col>6</xdr:col>
      <xdr:colOff>440390</xdr:colOff>
      <xdr:row>142</xdr:row>
      <xdr:rowOff>182094</xdr:rowOff>
    </xdr:from>
    <xdr:to>
      <xdr:col>8</xdr:col>
      <xdr:colOff>24030</xdr:colOff>
      <xdr:row>144</xdr:row>
      <xdr:rowOff>254932</xdr:rowOff>
    </xdr:to>
    <xdr:sp>
      <xdr:nvSpPr>
        <xdr:cNvPr id="49" name="テキスト ボックス 26"/>
        <xdr:cNvSpPr txBox="1"/>
      </xdr:nvSpPr>
      <xdr:spPr>
        <a:xfrm>
          <a:off x="5634690" y="41987319"/>
          <a:ext cx="1183841" cy="64433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2400" u="none">
              <a:solidFill>
                <a:srgbClr val="FF0000"/>
              </a:solidFill>
              <a:uFillTx/>
              <a:latin typeface="HG丸ｺﾞｼｯｸM-PRO"/>
              <a:ea typeface="HG丸ｺﾞｼｯｸM-PRO"/>
              <a:cs typeface="HG丸ｺﾞｼｯｸM-PRO"/>
              <a:sym typeface="HG丸ｺﾞｼｯｸM-PRO"/>
            </a:defRPr>
          </a:pPr>
          <a:r>
            <a:rPr b="0" baseline="0" cap="none" i="0" spc="0" strike="noStrike" sz="2400" u="none">
              <a:solidFill>
                <a:srgbClr val="FF0000"/>
              </a:solidFill>
              <a:uFillTx/>
              <a:latin typeface="HG丸ｺﾞｼｯｸM-PRO"/>
              <a:ea typeface="HG丸ｺﾞｼｯｸM-PRO"/>
              <a:cs typeface="HG丸ｺﾞｼｯｸM-PRO"/>
              <a:sym typeface="HG丸ｺﾞｼｯｸM-PRO"/>
            </a:rPr>
            <a:t>女性</a:t>
          </a:r>
        </a:p>
      </xdr:txBody>
    </xdr:sp>
    <xdr:clientData/>
  </xdr:twoCellAnchor>
</xdr:wsDr>
</file>

<file path=xl/drawings/drawing4.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6</xdr:col>
      <xdr:colOff>653458</xdr:colOff>
      <xdr:row>205</xdr:row>
      <xdr:rowOff>0</xdr:rowOff>
    </xdr:from>
    <xdr:to>
      <xdr:col>8</xdr:col>
      <xdr:colOff>613599</xdr:colOff>
      <xdr:row>208</xdr:row>
      <xdr:rowOff>246682</xdr:rowOff>
    </xdr:to>
    <xdr:pic>
      <xdr:nvPicPr>
        <xdr:cNvPr id="51" name="図 28" descr="図 28"/>
        <xdr:cNvPicPr>
          <a:picLocks noChangeAspect="1"/>
        </xdr:cNvPicPr>
      </xdr:nvPicPr>
      <xdr:blipFill>
        <a:blip r:embed="rId1">
          <a:extLst/>
        </a:blip>
        <a:stretch>
          <a:fillRect/>
        </a:stretch>
      </xdr:blipFill>
      <xdr:spPr>
        <a:xfrm>
          <a:off x="5822358" y="57997725"/>
          <a:ext cx="1738142" cy="1103933"/>
        </a:xfrm>
        <a:prstGeom prst="rect">
          <a:avLst/>
        </a:prstGeom>
        <a:ln w="12700" cap="flat">
          <a:noFill/>
          <a:miter lim="400000"/>
        </a:ln>
        <a:effectLst/>
      </xdr:spPr>
    </xdr:pic>
    <xdr:clientData/>
  </xdr:twoCellAnchor>
  <xdr:twoCellAnchor>
    <xdr:from>
      <xdr:col>6</xdr:col>
      <xdr:colOff>553777</xdr:colOff>
      <xdr:row>171</xdr:row>
      <xdr:rowOff>265813</xdr:rowOff>
    </xdr:from>
    <xdr:to>
      <xdr:col>8</xdr:col>
      <xdr:colOff>513919</xdr:colOff>
      <xdr:row>175</xdr:row>
      <xdr:rowOff>224528</xdr:rowOff>
    </xdr:to>
    <xdr:pic>
      <xdr:nvPicPr>
        <xdr:cNvPr id="52" name="図 23" descr="図 23"/>
        <xdr:cNvPicPr>
          <a:picLocks noChangeAspect="1"/>
        </xdr:cNvPicPr>
      </xdr:nvPicPr>
      <xdr:blipFill>
        <a:blip r:embed="rId1">
          <a:extLst/>
        </a:blip>
        <a:stretch>
          <a:fillRect/>
        </a:stretch>
      </xdr:blipFill>
      <xdr:spPr>
        <a:xfrm>
          <a:off x="5722677" y="48548038"/>
          <a:ext cx="1738143" cy="1101716"/>
        </a:xfrm>
        <a:prstGeom prst="rect">
          <a:avLst/>
        </a:prstGeom>
        <a:ln w="12700" cap="flat">
          <a:noFill/>
          <a:miter lim="400000"/>
        </a:ln>
        <a:effectLst/>
      </xdr:spPr>
    </xdr:pic>
    <xdr:clientData/>
  </xdr:twoCellAnchor>
  <xdr:twoCellAnchor>
    <xdr:from>
      <xdr:col>7</xdr:col>
      <xdr:colOff>753140</xdr:colOff>
      <xdr:row>137</xdr:row>
      <xdr:rowOff>210436</xdr:rowOff>
    </xdr:from>
    <xdr:to>
      <xdr:col>8</xdr:col>
      <xdr:colOff>713878</xdr:colOff>
      <xdr:row>141</xdr:row>
      <xdr:rowOff>236670</xdr:rowOff>
    </xdr:to>
    <xdr:pic>
      <xdr:nvPicPr>
        <xdr:cNvPr id="53" name="図 16" descr="図 16"/>
        <xdr:cNvPicPr>
          <a:picLocks noChangeAspect="1"/>
        </xdr:cNvPicPr>
      </xdr:nvPicPr>
      <xdr:blipFill>
        <a:blip r:embed="rId2">
          <a:extLst/>
        </a:blip>
        <a:stretch>
          <a:fillRect/>
        </a:stretch>
      </xdr:blipFill>
      <xdr:spPr>
        <a:xfrm>
          <a:off x="6811040" y="38472361"/>
          <a:ext cx="849739" cy="1169235"/>
        </a:xfrm>
        <a:prstGeom prst="rect">
          <a:avLst/>
        </a:prstGeom>
        <a:ln w="12700" cap="flat">
          <a:noFill/>
          <a:miter lim="400000"/>
        </a:ln>
        <a:effectLst/>
      </xdr:spPr>
    </xdr:pic>
    <xdr:clientData/>
  </xdr:twoCellAnchor>
  <xdr:twoCellAnchor>
    <xdr:from>
      <xdr:col>0</xdr:col>
      <xdr:colOff>187534</xdr:colOff>
      <xdr:row>50</xdr:row>
      <xdr:rowOff>42805</xdr:rowOff>
    </xdr:from>
    <xdr:to>
      <xdr:col>8</xdr:col>
      <xdr:colOff>530170</xdr:colOff>
      <xdr:row>69</xdr:row>
      <xdr:rowOff>82874</xdr:rowOff>
    </xdr:to>
    <xdr:graphicFrame>
      <xdr:nvGraphicFramePr>
        <xdr:cNvPr id="54" name="グラフ 1"/>
        <xdr:cNvGraphicFramePr/>
      </xdr:nvGraphicFramePr>
      <xdr:xfrm>
        <a:off x="187534" y="12939655"/>
        <a:ext cx="7289537" cy="5469320"/>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0</xdr:col>
      <xdr:colOff>78740</xdr:colOff>
      <xdr:row>85</xdr:row>
      <xdr:rowOff>224770</xdr:rowOff>
    </xdr:from>
    <xdr:to>
      <xdr:col>7</xdr:col>
      <xdr:colOff>477283</xdr:colOff>
      <xdr:row>95</xdr:row>
      <xdr:rowOff>224641</xdr:rowOff>
    </xdr:to>
    <xdr:graphicFrame>
      <xdr:nvGraphicFramePr>
        <xdr:cNvPr id="55" name="グラフ 2"/>
        <xdr:cNvGraphicFramePr/>
      </xdr:nvGraphicFramePr>
      <xdr:xfrm>
        <a:off x="78740" y="23351470"/>
        <a:ext cx="6456444" cy="2857372"/>
      </xdr:xfrm>
      <a:graphic xmlns:a="http://schemas.openxmlformats.org/drawingml/2006/main">
        <a:graphicData uri="http://schemas.openxmlformats.org/drawingml/2006/chart">
          <c:chart xmlns:c="http://schemas.openxmlformats.org/drawingml/2006/chart" r:id="rId4"/>
        </a:graphicData>
      </a:graphic>
    </xdr:graphicFrame>
    <xdr:clientData/>
  </xdr:twoCellAnchor>
  <xdr:twoCellAnchor>
    <xdr:from>
      <xdr:col>0</xdr:col>
      <xdr:colOff>87148</xdr:colOff>
      <xdr:row>119</xdr:row>
      <xdr:rowOff>227932</xdr:rowOff>
    </xdr:from>
    <xdr:to>
      <xdr:col>7</xdr:col>
      <xdr:colOff>588039</xdr:colOff>
      <xdr:row>128</xdr:row>
      <xdr:rowOff>236665</xdr:rowOff>
    </xdr:to>
    <xdr:graphicFrame>
      <xdr:nvGraphicFramePr>
        <xdr:cNvPr id="56" name="グラフ 5"/>
        <xdr:cNvGraphicFramePr/>
      </xdr:nvGraphicFramePr>
      <xdr:xfrm>
        <a:off x="87148" y="33346357"/>
        <a:ext cx="6558792" cy="2580484"/>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0</xdr:col>
      <xdr:colOff>87148</xdr:colOff>
      <xdr:row>131</xdr:row>
      <xdr:rowOff>238059</xdr:rowOff>
    </xdr:from>
    <xdr:to>
      <xdr:col>7</xdr:col>
      <xdr:colOff>588039</xdr:colOff>
      <xdr:row>140</xdr:row>
      <xdr:rowOff>246791</xdr:rowOff>
    </xdr:to>
    <xdr:graphicFrame>
      <xdr:nvGraphicFramePr>
        <xdr:cNvPr id="57" name="グラフ 7"/>
        <xdr:cNvGraphicFramePr/>
      </xdr:nvGraphicFramePr>
      <xdr:xfrm>
        <a:off x="87148" y="36785484"/>
        <a:ext cx="6558792" cy="2580483"/>
      </xdr:xfrm>
      <a:graphic xmlns:a="http://schemas.openxmlformats.org/drawingml/2006/main">
        <a:graphicData uri="http://schemas.openxmlformats.org/drawingml/2006/chart">
          <c:chart xmlns:c="http://schemas.openxmlformats.org/drawingml/2006/chart" r:id="rId6"/>
        </a:graphicData>
      </a:graphic>
    </xdr:graphicFrame>
    <xdr:clientData/>
  </xdr:twoCellAnchor>
  <xdr:twoCellAnchor>
    <xdr:from>
      <xdr:col>0</xdr:col>
      <xdr:colOff>121081</xdr:colOff>
      <xdr:row>98</xdr:row>
      <xdr:rowOff>169393</xdr:rowOff>
    </xdr:from>
    <xdr:to>
      <xdr:col>7</xdr:col>
      <xdr:colOff>477283</xdr:colOff>
      <xdr:row>108</xdr:row>
      <xdr:rowOff>149327</xdr:rowOff>
    </xdr:to>
    <xdr:graphicFrame>
      <xdr:nvGraphicFramePr>
        <xdr:cNvPr id="58" name="グラフ 12"/>
        <xdr:cNvGraphicFramePr/>
      </xdr:nvGraphicFramePr>
      <xdr:xfrm>
        <a:off x="121081" y="27010843"/>
        <a:ext cx="6414103" cy="2837435"/>
      </xdr:xfrm>
      <a:graphic xmlns:a="http://schemas.openxmlformats.org/drawingml/2006/main">
        <a:graphicData uri="http://schemas.openxmlformats.org/drawingml/2006/chart">
          <c:chart xmlns:c="http://schemas.openxmlformats.org/drawingml/2006/chart" r:id="rId7"/>
        </a:graphicData>
      </a:graphic>
    </xdr:graphicFrame>
    <xdr:clientData/>
  </xdr:twoCellAnchor>
  <xdr:twoCellAnchor>
    <xdr:from>
      <xdr:col>3</xdr:col>
      <xdr:colOff>232586</xdr:colOff>
      <xdr:row>18</xdr:row>
      <xdr:rowOff>99681</xdr:rowOff>
    </xdr:from>
    <xdr:to>
      <xdr:col>4</xdr:col>
      <xdr:colOff>620231</xdr:colOff>
      <xdr:row>23</xdr:row>
      <xdr:rowOff>44303</xdr:rowOff>
    </xdr:to>
    <xdr:sp>
      <xdr:nvSpPr>
        <xdr:cNvPr id="59" name="右矢印 3"/>
        <xdr:cNvSpPr/>
      </xdr:nvSpPr>
      <xdr:spPr>
        <a:xfrm>
          <a:off x="2823385" y="4843131"/>
          <a:ext cx="1187747" cy="1135248"/>
        </a:xfrm>
        <a:prstGeom prst="rightArrow">
          <a:avLst>
            <a:gd name="adj1" fmla="val 50000"/>
            <a:gd name="adj2" fmla="val 50000"/>
          </a:avLst>
        </a:prstGeom>
        <a:solidFill>
          <a:schemeClr val="accent1"/>
        </a:solidFill>
        <a:ln w="12700" cap="flat">
          <a:solidFill>
            <a:srgbClr val="42719B"/>
          </a:solidFill>
          <a:prstDash val="solid"/>
          <a:miter lim="800000"/>
        </a:ln>
        <a:effectLst/>
      </xdr:spPr>
      <xdr:txBody>
        <a:bodyPr/>
        <a:lstStyle/>
        <a:p>
          <a:pPr/>
        </a:p>
      </xdr:txBody>
    </xdr:sp>
    <xdr:clientData/>
  </xdr:twoCellAnchor>
  <xdr:twoCellAnchor>
    <xdr:from>
      <xdr:col>0</xdr:col>
      <xdr:colOff>412769</xdr:colOff>
      <xdr:row>49</xdr:row>
      <xdr:rowOff>166741</xdr:rowOff>
    </xdr:from>
    <xdr:to>
      <xdr:col>1</xdr:col>
      <xdr:colOff>482269</xdr:colOff>
      <xdr:row>50</xdr:row>
      <xdr:rowOff>239272</xdr:rowOff>
    </xdr:to>
    <xdr:sp>
      <xdr:nvSpPr>
        <xdr:cNvPr id="60" name="テキスト ボックス 13"/>
        <xdr:cNvSpPr txBox="1"/>
      </xdr:nvSpPr>
      <xdr:spPr>
        <a:xfrm>
          <a:off x="412768" y="12777841"/>
          <a:ext cx="958502" cy="35828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7</xdr:col>
      <xdr:colOff>564853</xdr:colOff>
      <xdr:row>69</xdr:row>
      <xdr:rowOff>221510</xdr:rowOff>
    </xdr:from>
    <xdr:to>
      <xdr:col>8</xdr:col>
      <xdr:colOff>627687</xdr:colOff>
      <xdr:row>74</xdr:row>
      <xdr:rowOff>232734</xdr:rowOff>
    </xdr:to>
    <xdr:pic>
      <xdr:nvPicPr>
        <xdr:cNvPr id="61" name="図 14" descr="図 14"/>
        <xdr:cNvPicPr>
          <a:picLocks noChangeAspect="1"/>
        </xdr:cNvPicPr>
      </xdr:nvPicPr>
      <xdr:blipFill>
        <a:blip r:embed="rId8">
          <a:extLst/>
        </a:blip>
        <a:stretch>
          <a:fillRect/>
        </a:stretch>
      </xdr:blipFill>
      <xdr:spPr>
        <a:xfrm>
          <a:off x="6622753" y="18547610"/>
          <a:ext cx="951835" cy="1439975"/>
        </a:xfrm>
        <a:prstGeom prst="rect">
          <a:avLst/>
        </a:prstGeom>
        <a:ln w="12700" cap="flat">
          <a:noFill/>
          <a:miter lim="400000"/>
        </a:ln>
        <a:effectLst/>
      </xdr:spPr>
    </xdr:pic>
    <xdr:clientData/>
  </xdr:twoCellAnchor>
  <xdr:twoCellAnchor>
    <xdr:from>
      <xdr:col>7</xdr:col>
      <xdr:colOff>686686</xdr:colOff>
      <xdr:row>103</xdr:row>
      <xdr:rowOff>132906</xdr:rowOff>
    </xdr:from>
    <xdr:to>
      <xdr:col>8</xdr:col>
      <xdr:colOff>702947</xdr:colOff>
      <xdr:row>108</xdr:row>
      <xdr:rowOff>123459</xdr:rowOff>
    </xdr:to>
    <xdr:pic>
      <xdr:nvPicPr>
        <xdr:cNvPr id="62" name="図 15" descr="図 15"/>
        <xdr:cNvPicPr>
          <a:picLocks noChangeAspect="1"/>
        </xdr:cNvPicPr>
      </xdr:nvPicPr>
      <xdr:blipFill>
        <a:blip r:embed="rId9">
          <a:extLst/>
        </a:blip>
        <a:stretch>
          <a:fillRect/>
        </a:stretch>
      </xdr:blipFill>
      <xdr:spPr>
        <a:xfrm>
          <a:off x="6744585" y="28403106"/>
          <a:ext cx="905263" cy="1419304"/>
        </a:xfrm>
        <a:prstGeom prst="rect">
          <a:avLst/>
        </a:prstGeom>
        <a:ln w="12700" cap="flat">
          <a:noFill/>
          <a:miter lim="400000"/>
        </a:ln>
        <a:effectLst/>
      </xdr:spPr>
    </xdr:pic>
    <xdr:clientData/>
  </xdr:twoCellAnchor>
  <xdr:twoCellAnchor>
    <xdr:from>
      <xdr:col>0</xdr:col>
      <xdr:colOff>169234</xdr:colOff>
      <xdr:row>85</xdr:row>
      <xdr:rowOff>20936</xdr:rowOff>
    </xdr:from>
    <xdr:to>
      <xdr:col>1</xdr:col>
      <xdr:colOff>238734</xdr:colOff>
      <xdr:row>86</xdr:row>
      <xdr:rowOff>93464</xdr:rowOff>
    </xdr:to>
    <xdr:sp>
      <xdr:nvSpPr>
        <xdr:cNvPr id="63" name="テキスト ボックス 17"/>
        <xdr:cNvSpPr txBox="1"/>
      </xdr:nvSpPr>
      <xdr:spPr>
        <a:xfrm>
          <a:off x="169234" y="23147636"/>
          <a:ext cx="958501" cy="35827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0</xdr:col>
      <xdr:colOff>79327</xdr:colOff>
      <xdr:row>97</xdr:row>
      <xdr:rowOff>222900</xdr:rowOff>
    </xdr:from>
    <xdr:to>
      <xdr:col>1</xdr:col>
      <xdr:colOff>148827</xdr:colOff>
      <xdr:row>99</xdr:row>
      <xdr:rowOff>9682</xdr:rowOff>
    </xdr:to>
    <xdr:sp>
      <xdr:nvSpPr>
        <xdr:cNvPr id="64" name="テキスト ボックス 18"/>
        <xdr:cNvSpPr txBox="1"/>
      </xdr:nvSpPr>
      <xdr:spPr>
        <a:xfrm>
          <a:off x="79327" y="26778600"/>
          <a:ext cx="958501" cy="358283"/>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0</xdr:col>
      <xdr:colOff>0</xdr:colOff>
      <xdr:row>146</xdr:row>
      <xdr:rowOff>187630</xdr:rowOff>
    </xdr:from>
    <xdr:to>
      <xdr:col>7</xdr:col>
      <xdr:colOff>789897</xdr:colOff>
      <xdr:row>170</xdr:row>
      <xdr:rowOff>110777</xdr:rowOff>
    </xdr:to>
    <xdr:graphicFrame>
      <xdr:nvGraphicFramePr>
        <xdr:cNvPr id="65" name="グラフ 19"/>
        <xdr:cNvGraphicFramePr/>
      </xdr:nvGraphicFramePr>
      <xdr:xfrm>
        <a:off x="-530685" y="41326105"/>
        <a:ext cx="6847799" cy="6781148"/>
      </xdr:xfrm>
      <a:graphic xmlns:a="http://schemas.openxmlformats.org/drawingml/2006/main">
        <a:graphicData uri="http://schemas.openxmlformats.org/drawingml/2006/chart">
          <c:chart xmlns:c="http://schemas.openxmlformats.org/drawingml/2006/chart" r:id="rId10"/>
        </a:graphicData>
      </a:graphic>
    </xdr:graphicFrame>
    <xdr:clientData/>
  </xdr:twoCellAnchor>
  <xdr:twoCellAnchor>
    <xdr:from>
      <xdr:col>0</xdr:col>
      <xdr:colOff>0</xdr:colOff>
      <xdr:row>170</xdr:row>
      <xdr:rowOff>174509</xdr:rowOff>
    </xdr:from>
    <xdr:to>
      <xdr:col>1</xdr:col>
      <xdr:colOff>63826</xdr:colOff>
      <xdr:row>171</xdr:row>
      <xdr:rowOff>169174</xdr:rowOff>
    </xdr:to>
    <xdr:sp>
      <xdr:nvSpPr>
        <xdr:cNvPr id="66" name="テキスト ボックス 1"/>
        <xdr:cNvSpPr txBox="1"/>
      </xdr:nvSpPr>
      <xdr:spPr>
        <a:xfrm>
          <a:off x="-19051" y="48170984"/>
          <a:ext cx="952828" cy="28041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6</xdr:col>
      <xdr:colOff>446123</xdr:colOff>
      <xdr:row>145</xdr:row>
      <xdr:rowOff>125693</xdr:rowOff>
    </xdr:from>
    <xdr:to>
      <xdr:col>7</xdr:col>
      <xdr:colOff>515400</xdr:colOff>
      <xdr:row>146</xdr:row>
      <xdr:rowOff>120359</xdr:rowOff>
    </xdr:to>
    <xdr:sp>
      <xdr:nvSpPr>
        <xdr:cNvPr id="67" name="テキスト ボックス 1"/>
        <xdr:cNvSpPr txBox="1"/>
      </xdr:nvSpPr>
      <xdr:spPr>
        <a:xfrm>
          <a:off x="5615023" y="40978418"/>
          <a:ext cx="958278"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0</xdr:col>
      <xdr:colOff>313218</xdr:colOff>
      <xdr:row>147</xdr:row>
      <xdr:rowOff>223283</xdr:rowOff>
    </xdr:from>
    <xdr:to>
      <xdr:col>2</xdr:col>
      <xdr:colOff>145183</xdr:colOff>
      <xdr:row>150</xdr:row>
      <xdr:rowOff>18162</xdr:rowOff>
    </xdr:to>
    <xdr:sp>
      <xdr:nvSpPr>
        <xdr:cNvPr id="68" name="テキスト ボックス 21"/>
        <xdr:cNvSpPr txBox="1"/>
      </xdr:nvSpPr>
      <xdr:spPr>
        <a:xfrm>
          <a:off x="313217" y="41647508"/>
          <a:ext cx="1533766" cy="65213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2400" u="none">
              <a:solidFill>
                <a:srgbClr val="00B050"/>
              </a:solidFill>
              <a:uFillTx/>
              <a:latin typeface="HG丸ｺﾞｼｯｸM-PRO"/>
              <a:ea typeface="HG丸ｺﾞｼｯｸM-PRO"/>
              <a:cs typeface="HG丸ｺﾞｼｯｸM-PRO"/>
              <a:sym typeface="HG丸ｺﾞｼｯｸM-PRO"/>
            </a:defRPr>
          </a:pPr>
          <a:r>
            <a:rPr b="0" baseline="0" cap="none" i="0" spc="0" strike="noStrike" sz="2400" u="none">
              <a:solidFill>
                <a:srgbClr val="00B050"/>
              </a:solidFill>
              <a:uFillTx/>
              <a:latin typeface="HG丸ｺﾞｼｯｸM-PRO"/>
              <a:ea typeface="HG丸ｺﾞｼｯｸM-PRO"/>
              <a:cs typeface="HG丸ｺﾞｼｯｸM-PRO"/>
              <a:sym typeface="HG丸ｺﾞｼｯｸM-PRO"/>
            </a:rPr>
            <a:t>男性</a:t>
          </a:r>
        </a:p>
      </xdr:txBody>
    </xdr:sp>
    <xdr:clientData/>
  </xdr:twoCellAnchor>
  <xdr:twoCellAnchor>
    <xdr:from>
      <xdr:col>6</xdr:col>
      <xdr:colOff>130926</xdr:colOff>
      <xdr:row>147</xdr:row>
      <xdr:rowOff>254685</xdr:rowOff>
    </xdr:from>
    <xdr:to>
      <xdr:col>7</xdr:col>
      <xdr:colOff>290076</xdr:colOff>
      <xdr:row>150</xdr:row>
      <xdr:rowOff>49568</xdr:rowOff>
    </xdr:to>
    <xdr:sp>
      <xdr:nvSpPr>
        <xdr:cNvPr id="69" name="テキスト ボックス 22"/>
        <xdr:cNvSpPr txBox="1"/>
      </xdr:nvSpPr>
      <xdr:spPr>
        <a:xfrm>
          <a:off x="5299826" y="41678910"/>
          <a:ext cx="1048151" cy="652134"/>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2400" u="none">
              <a:solidFill>
                <a:srgbClr val="FF00FF"/>
              </a:solidFill>
              <a:uFillTx/>
              <a:latin typeface="HG丸ｺﾞｼｯｸM-PRO"/>
              <a:ea typeface="HG丸ｺﾞｼｯｸM-PRO"/>
              <a:cs typeface="HG丸ｺﾞｼｯｸM-PRO"/>
              <a:sym typeface="HG丸ｺﾞｼｯｸM-PRO"/>
            </a:defRPr>
          </a:pPr>
          <a:r>
            <a:rPr b="0" baseline="0" cap="none" i="0" spc="0" strike="noStrike" sz="2400" u="none">
              <a:solidFill>
                <a:srgbClr val="FF00FF"/>
              </a:solidFill>
              <a:uFillTx/>
              <a:latin typeface="HG丸ｺﾞｼｯｸM-PRO"/>
              <a:ea typeface="HG丸ｺﾞｼｯｸM-PRO"/>
              <a:cs typeface="HG丸ｺﾞｼｯｸM-PRO"/>
              <a:sym typeface="HG丸ｺﾞｼｯｸM-PRO"/>
            </a:rPr>
            <a:t>女性</a:t>
          </a:r>
        </a:p>
      </xdr:txBody>
    </xdr:sp>
    <xdr:clientData/>
  </xdr:twoCellAnchor>
  <xdr:twoCellAnchor>
    <xdr:from>
      <xdr:col>0</xdr:col>
      <xdr:colOff>0</xdr:colOff>
      <xdr:row>179</xdr:row>
      <xdr:rowOff>187631</xdr:rowOff>
    </xdr:from>
    <xdr:to>
      <xdr:col>7</xdr:col>
      <xdr:colOff>789897</xdr:colOff>
      <xdr:row>203</xdr:row>
      <xdr:rowOff>110779</xdr:rowOff>
    </xdr:to>
    <xdr:graphicFrame>
      <xdr:nvGraphicFramePr>
        <xdr:cNvPr id="70" name="グラフ 24"/>
        <xdr:cNvGraphicFramePr/>
      </xdr:nvGraphicFramePr>
      <xdr:xfrm>
        <a:off x="-530685" y="50755856"/>
        <a:ext cx="6847799" cy="6781149"/>
      </xdr:xfrm>
      <a:graphic xmlns:a="http://schemas.openxmlformats.org/drawingml/2006/main">
        <a:graphicData uri="http://schemas.openxmlformats.org/drawingml/2006/chart">
          <c:chart xmlns:c="http://schemas.openxmlformats.org/drawingml/2006/chart" r:id="rId11"/>
        </a:graphicData>
      </a:graphic>
    </xdr:graphicFrame>
    <xdr:clientData/>
  </xdr:twoCellAnchor>
  <xdr:twoCellAnchor>
    <xdr:from>
      <xdr:col>0</xdr:col>
      <xdr:colOff>0</xdr:colOff>
      <xdr:row>203</xdr:row>
      <xdr:rowOff>174511</xdr:rowOff>
    </xdr:from>
    <xdr:to>
      <xdr:col>1</xdr:col>
      <xdr:colOff>63826</xdr:colOff>
      <xdr:row>204</xdr:row>
      <xdr:rowOff>169177</xdr:rowOff>
    </xdr:to>
    <xdr:sp>
      <xdr:nvSpPr>
        <xdr:cNvPr id="71" name="テキスト ボックス 1"/>
        <xdr:cNvSpPr txBox="1"/>
      </xdr:nvSpPr>
      <xdr:spPr>
        <a:xfrm>
          <a:off x="-19051" y="57600736"/>
          <a:ext cx="952828"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0</xdr:col>
      <xdr:colOff>257840</xdr:colOff>
      <xdr:row>180</xdr:row>
      <xdr:rowOff>178981</xdr:rowOff>
    </xdr:from>
    <xdr:to>
      <xdr:col>2</xdr:col>
      <xdr:colOff>89805</xdr:colOff>
      <xdr:row>182</xdr:row>
      <xdr:rowOff>259611</xdr:rowOff>
    </xdr:to>
    <xdr:sp>
      <xdr:nvSpPr>
        <xdr:cNvPr id="72" name="テキスト ボックス 25"/>
        <xdr:cNvSpPr txBox="1"/>
      </xdr:nvSpPr>
      <xdr:spPr>
        <a:xfrm>
          <a:off x="257840" y="51032956"/>
          <a:ext cx="1533766" cy="65213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2400" u="none">
              <a:solidFill>
                <a:srgbClr val="00B050"/>
              </a:solidFill>
              <a:uFillTx/>
              <a:latin typeface="HG丸ｺﾞｼｯｸM-PRO"/>
              <a:ea typeface="HG丸ｺﾞｼｯｸM-PRO"/>
              <a:cs typeface="HG丸ｺﾞｼｯｸM-PRO"/>
              <a:sym typeface="HG丸ｺﾞｼｯｸM-PRO"/>
            </a:defRPr>
          </a:pPr>
          <a:r>
            <a:rPr b="0" baseline="0" cap="none" i="0" spc="0" strike="noStrike" sz="2400" u="none">
              <a:solidFill>
                <a:srgbClr val="00B050"/>
              </a:solidFill>
              <a:uFillTx/>
              <a:latin typeface="HG丸ｺﾞｼｯｸM-PRO"/>
              <a:ea typeface="HG丸ｺﾞｼｯｸM-PRO"/>
              <a:cs typeface="HG丸ｺﾞｼｯｸM-PRO"/>
              <a:sym typeface="HG丸ｺﾞｼｯｸM-PRO"/>
            </a:rPr>
            <a:t>男性</a:t>
          </a:r>
        </a:p>
      </xdr:txBody>
    </xdr:sp>
    <xdr:clientData/>
  </xdr:twoCellAnchor>
  <xdr:twoCellAnchor>
    <xdr:from>
      <xdr:col>6</xdr:col>
      <xdr:colOff>75548</xdr:colOff>
      <xdr:row>180</xdr:row>
      <xdr:rowOff>212598</xdr:rowOff>
    </xdr:from>
    <xdr:to>
      <xdr:col>7</xdr:col>
      <xdr:colOff>234698</xdr:colOff>
      <xdr:row>183</xdr:row>
      <xdr:rowOff>7481</xdr:rowOff>
    </xdr:to>
    <xdr:sp>
      <xdr:nvSpPr>
        <xdr:cNvPr id="73" name="テキスト ボックス 26"/>
        <xdr:cNvSpPr txBox="1"/>
      </xdr:nvSpPr>
      <xdr:spPr>
        <a:xfrm>
          <a:off x="5244448" y="51066573"/>
          <a:ext cx="1048151" cy="652134"/>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b="0" baseline="0" cap="none" i="0" spc="0" strike="noStrike" sz="2400" u="none">
              <a:solidFill>
                <a:srgbClr val="FF00FF"/>
              </a:solidFill>
              <a:uFillTx/>
              <a:latin typeface="HG丸ｺﾞｼｯｸM-PRO"/>
              <a:ea typeface="HG丸ｺﾞｼｯｸM-PRO"/>
              <a:cs typeface="HG丸ｺﾞｼｯｸM-PRO"/>
              <a:sym typeface="HG丸ｺﾞｼｯｸM-PRO"/>
            </a:defRPr>
          </a:pPr>
          <a:r>
            <a:rPr b="0" baseline="0" cap="none" i="0" spc="0" strike="noStrike" sz="2400" u="none">
              <a:solidFill>
                <a:srgbClr val="FF00FF"/>
              </a:solidFill>
              <a:uFillTx/>
              <a:latin typeface="HG丸ｺﾞｼｯｸM-PRO"/>
              <a:ea typeface="HG丸ｺﾞｼｯｸM-PRO"/>
              <a:cs typeface="HG丸ｺﾞｼｯｸM-PRO"/>
              <a:sym typeface="HG丸ｺﾞｼｯｸM-PRO"/>
            </a:rPr>
            <a:t>女性</a:t>
          </a:r>
        </a:p>
      </xdr:txBody>
    </xdr:sp>
    <xdr:clientData/>
  </xdr:twoCellAnchor>
  <xdr:twoCellAnchor>
    <xdr:from>
      <xdr:col>6</xdr:col>
      <xdr:colOff>534729</xdr:colOff>
      <xdr:row>178</xdr:row>
      <xdr:rowOff>267462</xdr:rowOff>
    </xdr:from>
    <xdr:to>
      <xdr:col>7</xdr:col>
      <xdr:colOff>604007</xdr:colOff>
      <xdr:row>179</xdr:row>
      <xdr:rowOff>262127</xdr:rowOff>
    </xdr:to>
    <xdr:sp>
      <xdr:nvSpPr>
        <xdr:cNvPr id="74" name="テキスト ボックス 1"/>
        <xdr:cNvSpPr txBox="1"/>
      </xdr:nvSpPr>
      <xdr:spPr>
        <a:xfrm>
          <a:off x="5703628" y="50549937"/>
          <a:ext cx="958280" cy="28041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6</xdr:col>
      <xdr:colOff>620231</xdr:colOff>
      <xdr:row>274</xdr:row>
      <xdr:rowOff>265813</xdr:rowOff>
    </xdr:from>
    <xdr:to>
      <xdr:col>8</xdr:col>
      <xdr:colOff>580373</xdr:colOff>
      <xdr:row>278</xdr:row>
      <xdr:rowOff>224532</xdr:rowOff>
    </xdr:to>
    <xdr:pic>
      <xdr:nvPicPr>
        <xdr:cNvPr id="75" name="図 36" descr="図 36"/>
        <xdr:cNvPicPr>
          <a:picLocks noChangeAspect="1"/>
        </xdr:cNvPicPr>
      </xdr:nvPicPr>
      <xdr:blipFill>
        <a:blip r:embed="rId1">
          <a:extLst/>
        </a:blip>
        <a:stretch>
          <a:fillRect/>
        </a:stretch>
      </xdr:blipFill>
      <xdr:spPr>
        <a:xfrm>
          <a:off x="5789131" y="77980288"/>
          <a:ext cx="1738143" cy="1101720"/>
        </a:xfrm>
        <a:prstGeom prst="rect">
          <a:avLst/>
        </a:prstGeom>
        <a:ln w="12700" cap="flat">
          <a:noFill/>
          <a:miter lim="400000"/>
        </a:ln>
        <a:effectLst/>
      </xdr:spPr>
    </xdr:pic>
    <xdr:clientData/>
  </xdr:twoCellAnchor>
  <xdr:twoCellAnchor>
    <xdr:from>
      <xdr:col>4</xdr:col>
      <xdr:colOff>186411</xdr:colOff>
      <xdr:row>34</xdr:row>
      <xdr:rowOff>1136</xdr:rowOff>
    </xdr:from>
    <xdr:to>
      <xdr:col>5</xdr:col>
      <xdr:colOff>557104</xdr:colOff>
      <xdr:row>39</xdr:row>
      <xdr:rowOff>187670</xdr:rowOff>
    </xdr:to>
    <xdr:grpSp>
      <xdr:nvGrpSpPr>
        <xdr:cNvPr id="78" name="右矢印 30"/>
        <xdr:cNvGrpSpPr/>
      </xdr:nvGrpSpPr>
      <xdr:grpSpPr>
        <a:xfrm>
          <a:off x="3577311" y="8564111"/>
          <a:ext cx="1259694" cy="1281910"/>
          <a:chOff x="-19050" y="0"/>
          <a:chExt cx="1220989" cy="1114703"/>
        </a:xfrm>
      </xdr:grpSpPr>
      <xdr:sp>
        <xdr:nvSpPr>
          <xdr:cNvPr id="76" name="Shape 76"/>
          <xdr:cNvSpPr/>
        </xdr:nvSpPr>
        <xdr:spPr>
          <a:xfrm>
            <a:off x="0" y="0"/>
            <a:ext cx="1201940" cy="1114704"/>
          </a:xfrm>
          <a:prstGeom prst="rightArrow">
            <a:avLst>
              <a:gd name="adj1" fmla="val 50000"/>
              <a:gd name="adj2" fmla="val 50000"/>
            </a:avLst>
          </a:prstGeom>
          <a:solidFill>
            <a:srgbClr val="FFF2CC"/>
          </a:solidFill>
          <a:ln w="12700" cap="flat">
            <a:solidFill>
              <a:schemeClr val="accent4"/>
            </a:solidFill>
            <a:prstDash val="solid"/>
            <a:miter lim="800000"/>
          </a:ln>
          <a:effectLst/>
        </xdr:spPr>
        <xdr:txBody>
          <a:bodyPr/>
          <a:lstStyle/>
          <a:p>
            <a:pPr/>
          </a:p>
        </xdr:txBody>
      </xdr:sp>
      <xdr:sp>
        <xdr:nvSpPr>
          <xdr:cNvPr id="77" name="Shape 77"/>
          <xdr:cNvSpPr txBox="1"/>
        </xdr:nvSpPr>
        <xdr:spPr>
          <a:xfrm>
            <a:off x="-19051" y="236874"/>
            <a:ext cx="961365" cy="64095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ctr"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計算</a:t>
            </a:r>
            <a:endParaRPr b="0" baseline="0" cap="none" i="0" spc="0" strike="noStrike" sz="1200" u="none">
              <a:solidFill>
                <a:srgbClr val="000000"/>
              </a:solidFill>
              <a:uFillTx/>
              <a:latin typeface="HG丸ｺﾞｼｯｸM-PRO"/>
              <a:ea typeface="HG丸ｺﾞｼｯｸM-PRO"/>
              <a:cs typeface="HG丸ｺﾞｼｯｸM-PRO"/>
              <a:sym typeface="HG丸ｺﾞｼｯｸM-PRO"/>
            </a:endParaRPr>
          </a:p>
          <a:p>
            <a:pPr marL="0" marR="0" indent="0" algn="ctr"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結果</a:t>
            </a:r>
          </a:p>
        </xdr:txBody>
      </xdr:sp>
    </xdr:grpSp>
    <xdr:clientData/>
  </xdr:twoCellAnchor>
  <xdr:twoCellAnchor>
    <xdr:from>
      <xdr:col>0</xdr:col>
      <xdr:colOff>0</xdr:colOff>
      <xdr:row>216</xdr:row>
      <xdr:rowOff>4939</xdr:rowOff>
    </xdr:from>
    <xdr:to>
      <xdr:col>8</xdr:col>
      <xdr:colOff>327999</xdr:colOff>
      <xdr:row>238</xdr:row>
      <xdr:rowOff>159916</xdr:rowOff>
    </xdr:to>
    <xdr:graphicFrame>
      <xdr:nvGraphicFramePr>
        <xdr:cNvPr id="79" name="グラフ 32"/>
        <xdr:cNvGraphicFramePr/>
      </xdr:nvGraphicFramePr>
      <xdr:xfrm>
        <a:off x="-412534" y="61145914"/>
        <a:ext cx="7274900" cy="6441478"/>
      </xdr:xfrm>
      <a:graphic xmlns:a="http://schemas.openxmlformats.org/drawingml/2006/main">
        <a:graphicData uri="http://schemas.openxmlformats.org/drawingml/2006/chart">
          <c:chart xmlns:c="http://schemas.openxmlformats.org/drawingml/2006/chart" r:id="rId12"/>
        </a:graphicData>
      </a:graphic>
    </xdr:graphicFrame>
    <xdr:clientData/>
  </xdr:twoCellAnchor>
  <xdr:twoCellAnchor>
    <xdr:from>
      <xdr:col>0</xdr:col>
      <xdr:colOff>74332</xdr:colOff>
      <xdr:row>238</xdr:row>
      <xdr:rowOff>225844</xdr:rowOff>
    </xdr:from>
    <xdr:to>
      <xdr:col>1</xdr:col>
      <xdr:colOff>204888</xdr:colOff>
      <xdr:row>239</xdr:row>
      <xdr:rowOff>220509</xdr:rowOff>
    </xdr:to>
    <xdr:sp>
      <xdr:nvSpPr>
        <xdr:cNvPr id="80" name="テキスト ボックス 1"/>
        <xdr:cNvSpPr txBox="1"/>
      </xdr:nvSpPr>
      <xdr:spPr>
        <a:xfrm>
          <a:off x="74332" y="67653319"/>
          <a:ext cx="1019557" cy="28041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7</xdr:col>
      <xdr:colOff>81919</xdr:colOff>
      <xdr:row>240</xdr:row>
      <xdr:rowOff>131080</xdr:rowOff>
    </xdr:from>
    <xdr:to>
      <xdr:col>8</xdr:col>
      <xdr:colOff>644527</xdr:colOff>
      <xdr:row>243</xdr:row>
      <xdr:rowOff>222764</xdr:rowOff>
    </xdr:to>
    <xdr:pic>
      <xdr:nvPicPr>
        <xdr:cNvPr id="81" name="図 35" descr="図 35"/>
        <xdr:cNvPicPr>
          <a:picLocks noChangeAspect="1"/>
        </xdr:cNvPicPr>
      </xdr:nvPicPr>
      <xdr:blipFill>
        <a:blip r:embed="rId1">
          <a:extLst/>
        </a:blip>
        <a:stretch>
          <a:fillRect/>
        </a:stretch>
      </xdr:blipFill>
      <xdr:spPr>
        <a:xfrm>
          <a:off x="6139819" y="68130055"/>
          <a:ext cx="1451609" cy="948935"/>
        </a:xfrm>
        <a:prstGeom prst="rect">
          <a:avLst/>
        </a:prstGeom>
        <a:ln w="12700" cap="flat">
          <a:noFill/>
          <a:miter lim="400000"/>
        </a:ln>
        <a:effectLst/>
      </xdr:spPr>
    </xdr:pic>
    <xdr:clientData/>
  </xdr:twoCellAnchor>
  <xdr:twoCellAnchor>
    <xdr:from>
      <xdr:col>7</xdr:col>
      <xdr:colOff>272303</xdr:colOff>
      <xdr:row>215</xdr:row>
      <xdr:rowOff>48951</xdr:rowOff>
    </xdr:from>
    <xdr:to>
      <xdr:col>8</xdr:col>
      <xdr:colOff>343106</xdr:colOff>
      <xdr:row>216</xdr:row>
      <xdr:rowOff>43617</xdr:rowOff>
    </xdr:to>
    <xdr:sp>
      <xdr:nvSpPr>
        <xdr:cNvPr id="82" name="テキスト ボックス 1"/>
        <xdr:cNvSpPr txBox="1"/>
      </xdr:nvSpPr>
      <xdr:spPr>
        <a:xfrm>
          <a:off x="6330203" y="60904176"/>
          <a:ext cx="959804"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0</xdr:col>
      <xdr:colOff>0</xdr:colOff>
      <xdr:row>250</xdr:row>
      <xdr:rowOff>172772</xdr:rowOff>
    </xdr:from>
    <xdr:to>
      <xdr:col>8</xdr:col>
      <xdr:colOff>331346</xdr:colOff>
      <xdr:row>273</xdr:row>
      <xdr:rowOff>22138</xdr:rowOff>
    </xdr:to>
    <xdr:graphicFrame>
      <xdr:nvGraphicFramePr>
        <xdr:cNvPr id="83" name="グラフ 38"/>
        <xdr:cNvGraphicFramePr/>
      </xdr:nvGraphicFramePr>
      <xdr:xfrm>
        <a:off x="-427281" y="71029247"/>
        <a:ext cx="7278248" cy="6421617"/>
      </xdr:xfrm>
      <a:graphic xmlns:a="http://schemas.openxmlformats.org/drawingml/2006/main">
        <a:graphicData uri="http://schemas.openxmlformats.org/drawingml/2006/chart">
          <c:chart xmlns:c="http://schemas.openxmlformats.org/drawingml/2006/chart" r:id="rId13"/>
        </a:graphicData>
      </a:graphic>
    </xdr:graphicFrame>
    <xdr:clientData/>
  </xdr:twoCellAnchor>
  <xdr:twoCellAnchor>
    <xdr:from>
      <xdr:col>0</xdr:col>
      <xdr:colOff>59391</xdr:colOff>
      <xdr:row>273</xdr:row>
      <xdr:rowOff>87070</xdr:rowOff>
    </xdr:from>
    <xdr:to>
      <xdr:col>1</xdr:col>
      <xdr:colOff>190469</xdr:colOff>
      <xdr:row>274</xdr:row>
      <xdr:rowOff>81736</xdr:rowOff>
    </xdr:to>
    <xdr:sp>
      <xdr:nvSpPr>
        <xdr:cNvPr id="84" name="テキスト ボックス 1"/>
        <xdr:cNvSpPr txBox="1"/>
      </xdr:nvSpPr>
      <xdr:spPr>
        <a:xfrm>
          <a:off x="59391" y="77515795"/>
          <a:ext cx="1020079"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twoCellAnchor>
    <xdr:from>
      <xdr:col>7</xdr:col>
      <xdr:colOff>328331</xdr:colOff>
      <xdr:row>249</xdr:row>
      <xdr:rowOff>231978</xdr:rowOff>
    </xdr:from>
    <xdr:to>
      <xdr:col>8</xdr:col>
      <xdr:colOff>399135</xdr:colOff>
      <xdr:row>250</xdr:row>
      <xdr:rowOff>226644</xdr:rowOff>
    </xdr:to>
    <xdr:sp>
      <xdr:nvSpPr>
        <xdr:cNvPr id="85" name="テキスト ボックス 1"/>
        <xdr:cNvSpPr txBox="1"/>
      </xdr:nvSpPr>
      <xdr:spPr>
        <a:xfrm>
          <a:off x="6386231" y="70802703"/>
          <a:ext cx="959805" cy="28041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tabLst/>
            <a:defRPr b="0" baseline="0" cap="none" i="0" spc="0" strike="noStrike" sz="1200" u="none">
              <a:solidFill>
                <a:srgbClr val="000000"/>
              </a:solidFill>
              <a:uFillTx/>
              <a:latin typeface="HG丸ｺﾞｼｯｸM-PRO"/>
              <a:ea typeface="HG丸ｺﾞｼｯｸM-PRO"/>
              <a:cs typeface="HG丸ｺﾞｼｯｸM-PRO"/>
              <a:sym typeface="HG丸ｺﾞｼｯｸM-PRO"/>
            </a:defRPr>
          </a:pPr>
          <a:r>
            <a:rPr b="0" baseline="0" cap="none" i="0" spc="0" strike="noStrike" sz="1200" u="none">
              <a:solidFill>
                <a:srgbClr val="000000"/>
              </a:solidFill>
              <a:uFillTx/>
              <a:latin typeface="HG丸ｺﾞｼｯｸM-PRO"/>
              <a:ea typeface="HG丸ｺﾞｼｯｸM-PRO"/>
              <a:cs typeface="HG丸ｺﾞｼｯｸM-PRO"/>
              <a:sym typeface="HG丸ｺﾞｼｯｸM-PRO"/>
            </a:rPr>
            <a:t>（人）</a:t>
          </a:r>
        </a:p>
      </xdr:txBody>
    </xdr:sp>
    <xdr:clientData/>
  </xdr:twoCellAnchor>
</xdr:wsDr>
</file>

<file path=xl/drawings/drawing5.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13</xdr:row>
      <xdr:rowOff>98887</xdr:rowOff>
    </xdr:from>
    <xdr:to>
      <xdr:col>8</xdr:col>
      <xdr:colOff>455652</xdr:colOff>
      <xdr:row>21</xdr:row>
      <xdr:rowOff>62604</xdr:rowOff>
    </xdr:to>
    <xdr:graphicFrame>
      <xdr:nvGraphicFramePr>
        <xdr:cNvPr id="87" name="グラフ 5"/>
        <xdr:cNvGraphicFramePr/>
      </xdr:nvGraphicFramePr>
      <xdr:xfrm>
        <a:off x="-921321" y="4042237"/>
        <a:ext cx="8355053" cy="2249718"/>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0</xdr:col>
      <xdr:colOff>0</xdr:colOff>
      <xdr:row>25</xdr:row>
      <xdr:rowOff>114450</xdr:rowOff>
    </xdr:from>
    <xdr:to>
      <xdr:col>8</xdr:col>
      <xdr:colOff>348473</xdr:colOff>
      <xdr:row>33</xdr:row>
      <xdr:rowOff>83771</xdr:rowOff>
    </xdr:to>
    <xdr:graphicFrame>
      <xdr:nvGraphicFramePr>
        <xdr:cNvPr id="88" name="グラフ 8"/>
        <xdr:cNvGraphicFramePr/>
      </xdr:nvGraphicFramePr>
      <xdr:xfrm>
        <a:off x="-899531" y="7486800"/>
        <a:ext cx="8247874" cy="2255322"/>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0</xdr:col>
      <xdr:colOff>0</xdr:colOff>
      <xdr:row>43</xdr:row>
      <xdr:rowOff>156782</xdr:rowOff>
    </xdr:from>
    <xdr:to>
      <xdr:col>8</xdr:col>
      <xdr:colOff>328240</xdr:colOff>
      <xdr:row>58</xdr:row>
      <xdr:rowOff>254971</xdr:rowOff>
    </xdr:to>
    <xdr:graphicFrame>
      <xdr:nvGraphicFramePr>
        <xdr:cNvPr id="89" name="グラフ 9"/>
        <xdr:cNvGraphicFramePr/>
      </xdr:nvGraphicFramePr>
      <xdr:xfrm>
        <a:off x="-865292" y="12901232"/>
        <a:ext cx="8227642" cy="4384440"/>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6</xdr:col>
      <xdr:colOff>806824</xdr:colOff>
      <xdr:row>59</xdr:row>
      <xdr:rowOff>179294</xdr:rowOff>
    </xdr:from>
    <xdr:to>
      <xdr:col>7</xdr:col>
      <xdr:colOff>703784</xdr:colOff>
      <xdr:row>64</xdr:row>
      <xdr:rowOff>173577</xdr:rowOff>
    </xdr:to>
    <xdr:pic>
      <xdr:nvPicPr>
        <xdr:cNvPr id="90" name="図 10" descr="図 10"/>
        <xdr:cNvPicPr>
          <a:picLocks noChangeAspect="1"/>
        </xdr:cNvPicPr>
      </xdr:nvPicPr>
      <xdr:blipFill>
        <a:blip r:embed="rId4">
          <a:extLst/>
        </a:blip>
        <a:stretch>
          <a:fillRect/>
        </a:stretch>
      </xdr:blipFill>
      <xdr:spPr>
        <a:xfrm>
          <a:off x="6483724" y="17495744"/>
          <a:ext cx="989161" cy="1423034"/>
        </a:xfrm>
        <a:prstGeom prst="rect">
          <a:avLst/>
        </a:prstGeom>
        <a:ln w="12700" cap="flat">
          <a:noFill/>
          <a:miter lim="400000"/>
        </a:ln>
        <a:effectLst/>
      </xdr:spPr>
    </xdr:pic>
    <xdr:clientData/>
  </xdr:twoCellAnchor>
  <xdr:twoCellAnchor>
    <xdr:from>
      <xdr:col>0</xdr:col>
      <xdr:colOff>0</xdr:colOff>
      <xdr:row>78</xdr:row>
      <xdr:rowOff>262117</xdr:rowOff>
    </xdr:from>
    <xdr:to>
      <xdr:col>8</xdr:col>
      <xdr:colOff>512595</xdr:colOff>
      <xdr:row>94</xdr:row>
      <xdr:rowOff>36454</xdr:rowOff>
    </xdr:to>
    <xdr:graphicFrame>
      <xdr:nvGraphicFramePr>
        <xdr:cNvPr id="91" name="グラフ 11"/>
        <xdr:cNvGraphicFramePr/>
      </xdr:nvGraphicFramePr>
      <xdr:xfrm>
        <a:off x="-921321" y="23236417"/>
        <a:ext cx="8411996" cy="4346338"/>
      </xdr:xfrm>
      <a:graphic xmlns:a="http://schemas.openxmlformats.org/drawingml/2006/main">
        <a:graphicData uri="http://schemas.openxmlformats.org/drawingml/2006/chart">
          <c:chart xmlns:c="http://schemas.openxmlformats.org/drawingml/2006/chart" r:id="rId5"/>
        </a:graphicData>
      </a:graphic>
    </xdr:graphicFrame>
    <xdr:clientData/>
  </xdr:twoCellAnchor>
  <xdr:twoCellAnchor>
    <xdr:from>
      <xdr:col>0</xdr:col>
      <xdr:colOff>44732</xdr:colOff>
      <xdr:row>107</xdr:row>
      <xdr:rowOff>69240</xdr:rowOff>
    </xdr:from>
    <xdr:to>
      <xdr:col>7</xdr:col>
      <xdr:colOff>899459</xdr:colOff>
      <xdr:row>125</xdr:row>
      <xdr:rowOff>111038</xdr:rowOff>
    </xdr:to>
    <xdr:graphicFrame>
      <xdr:nvGraphicFramePr>
        <xdr:cNvPr id="92" name="グラフ 14"/>
        <xdr:cNvGraphicFramePr/>
      </xdr:nvGraphicFramePr>
      <xdr:xfrm>
        <a:off x="44732" y="31558890"/>
        <a:ext cx="7623828" cy="5185299"/>
      </xdr:xfrm>
      <a:graphic xmlns:a="http://schemas.openxmlformats.org/drawingml/2006/main">
        <a:graphicData uri="http://schemas.openxmlformats.org/drawingml/2006/chart">
          <c:chart xmlns:c="http://schemas.openxmlformats.org/drawingml/2006/chart" r:id="rId6"/>
        </a:graphicData>
      </a:graphic>
    </xdr:graphicFrame>
    <xdr:clientData/>
  </xdr:twoCellAnchor>
  <xdr:twoCellAnchor>
    <xdr:from>
      <xdr:col>0</xdr:col>
      <xdr:colOff>0</xdr:colOff>
      <xdr:row>143</xdr:row>
      <xdr:rowOff>43603</xdr:rowOff>
    </xdr:from>
    <xdr:to>
      <xdr:col>8</xdr:col>
      <xdr:colOff>486994</xdr:colOff>
      <xdr:row>158</xdr:row>
      <xdr:rowOff>103690</xdr:rowOff>
    </xdr:to>
    <xdr:graphicFrame>
      <xdr:nvGraphicFramePr>
        <xdr:cNvPr id="93" name="グラフ 15"/>
        <xdr:cNvGraphicFramePr/>
      </xdr:nvGraphicFramePr>
      <xdr:xfrm>
        <a:off x="-764438" y="42048853"/>
        <a:ext cx="8386396" cy="4346338"/>
      </xdr:xfrm>
      <a:graphic xmlns:a="http://schemas.openxmlformats.org/drawingml/2006/main">
        <a:graphicData uri="http://schemas.openxmlformats.org/drawingml/2006/chart">
          <c:chart xmlns:c="http://schemas.openxmlformats.org/drawingml/2006/chart" r:id="rId7"/>
        </a:graphicData>
      </a:graphic>
    </xdr:graphicFrame>
    <xdr:clientData/>
  </xdr:twoCellAnchor>
  <xdr:twoCellAnchor>
    <xdr:from>
      <xdr:col>6</xdr:col>
      <xdr:colOff>885263</xdr:colOff>
      <xdr:row>96</xdr:row>
      <xdr:rowOff>212911</xdr:rowOff>
    </xdr:from>
    <xdr:to>
      <xdr:col>7</xdr:col>
      <xdr:colOff>735652</xdr:colOff>
      <xdr:row>101</xdr:row>
      <xdr:rowOff>186525</xdr:rowOff>
    </xdr:to>
    <xdr:pic>
      <xdr:nvPicPr>
        <xdr:cNvPr id="94" name="図 16" descr="図 16"/>
        <xdr:cNvPicPr>
          <a:picLocks noChangeAspect="1"/>
        </xdr:cNvPicPr>
      </xdr:nvPicPr>
      <xdr:blipFill>
        <a:blip r:embed="rId8">
          <a:extLst/>
        </a:blip>
        <a:stretch>
          <a:fillRect/>
        </a:stretch>
      </xdr:blipFill>
      <xdr:spPr>
        <a:xfrm>
          <a:off x="6562163" y="28330711"/>
          <a:ext cx="942589" cy="1402365"/>
        </a:xfrm>
        <a:prstGeom prst="rect">
          <a:avLst/>
        </a:prstGeom>
        <a:ln w="12700" cap="flat">
          <a:noFill/>
          <a:miter lim="400000"/>
        </a:ln>
        <a:effectLst/>
      </xdr:spPr>
    </xdr:pic>
    <xdr:clientData/>
  </xdr:twoCellAnchor>
  <xdr:twoCellAnchor>
    <xdr:from>
      <xdr:col>6</xdr:col>
      <xdr:colOff>918881</xdr:colOff>
      <xdr:row>130</xdr:row>
      <xdr:rowOff>134469</xdr:rowOff>
    </xdr:from>
    <xdr:to>
      <xdr:col>7</xdr:col>
      <xdr:colOff>713747</xdr:colOff>
      <xdr:row>134</xdr:row>
      <xdr:rowOff>147153</xdr:rowOff>
    </xdr:to>
    <xdr:pic>
      <xdr:nvPicPr>
        <xdr:cNvPr id="95" name="図 17" descr="図 17"/>
        <xdr:cNvPicPr>
          <a:picLocks noChangeAspect="1"/>
        </xdr:cNvPicPr>
      </xdr:nvPicPr>
      <xdr:blipFill>
        <a:blip r:embed="rId9">
          <a:extLst/>
        </a:blip>
        <a:stretch>
          <a:fillRect/>
        </a:stretch>
      </xdr:blipFill>
      <xdr:spPr>
        <a:xfrm>
          <a:off x="6595781" y="38196369"/>
          <a:ext cx="887067" cy="1155685"/>
        </a:xfrm>
        <a:prstGeom prst="rect">
          <a:avLst/>
        </a:prstGeom>
        <a:ln w="12700" cap="flat">
          <a:noFill/>
          <a:miter lim="400000"/>
        </a:ln>
        <a:effectLst/>
      </xdr:spPr>
    </xdr:pic>
    <xdr:clientData/>
  </xdr:twoCellAnchor>
  <xdr:twoCellAnchor>
    <xdr:from>
      <xdr:col>6</xdr:col>
      <xdr:colOff>179294</xdr:colOff>
      <xdr:row>165</xdr:row>
      <xdr:rowOff>190500</xdr:rowOff>
    </xdr:from>
    <xdr:to>
      <xdr:col>7</xdr:col>
      <xdr:colOff>737776</xdr:colOff>
      <xdr:row>169</xdr:row>
      <xdr:rowOff>135669</xdr:rowOff>
    </xdr:to>
    <xdr:pic>
      <xdr:nvPicPr>
        <xdr:cNvPr id="96" name="図 18" descr="図 18"/>
        <xdr:cNvPicPr>
          <a:picLocks noChangeAspect="1"/>
        </xdr:cNvPicPr>
      </xdr:nvPicPr>
      <xdr:blipFill>
        <a:blip r:embed="rId10">
          <a:extLst/>
        </a:blip>
        <a:stretch>
          <a:fillRect/>
        </a:stretch>
      </xdr:blipFill>
      <xdr:spPr>
        <a:xfrm>
          <a:off x="5856194" y="48482250"/>
          <a:ext cx="1650683" cy="1088170"/>
        </a:xfrm>
        <a:prstGeom prst="rect">
          <a:avLst/>
        </a:prstGeom>
        <a:ln w="12700" cap="flat">
          <a:noFill/>
          <a:miter lim="400000"/>
        </a:ln>
        <a:effectLst/>
      </xdr:spPr>
    </xdr:pic>
    <xdr:clientData/>
  </xdr:twoCellAnchor>
</xdr:wsDr>
</file>

<file path=xl/drawings/drawing6.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6</xdr:col>
      <xdr:colOff>504264</xdr:colOff>
      <xdr:row>29</xdr:row>
      <xdr:rowOff>268940</xdr:rowOff>
    </xdr:from>
    <xdr:to>
      <xdr:col>7</xdr:col>
      <xdr:colOff>1062748</xdr:colOff>
      <xdr:row>33</xdr:row>
      <xdr:rowOff>214107</xdr:rowOff>
    </xdr:to>
    <xdr:pic>
      <xdr:nvPicPr>
        <xdr:cNvPr id="98" name="図 10" descr="図 10"/>
        <xdr:cNvPicPr>
          <a:picLocks noChangeAspect="1"/>
        </xdr:cNvPicPr>
      </xdr:nvPicPr>
      <xdr:blipFill>
        <a:blip r:embed="rId1">
          <a:extLst/>
        </a:blip>
        <a:stretch>
          <a:fillRect/>
        </a:stretch>
      </xdr:blipFill>
      <xdr:spPr>
        <a:xfrm>
          <a:off x="6041464" y="8565215"/>
          <a:ext cx="1650685" cy="1088168"/>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テーマ">
  <a:themeElements>
    <a:clrScheme name="Office テーマ">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テーマ">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テーマ">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s>

</file>

<file path=xl/worksheets/_rels/sheet4.xml.rels><?xml version="1.0" encoding="UTF-8"?>
<Relationships xmlns="http://schemas.openxmlformats.org/package/2006/relationships"><Relationship Id="rId1" Type="http://schemas.openxmlformats.org/officeDocument/2006/relationships/drawing" Target="../drawings/drawing3.xml"/></Relationships>

</file>

<file path=xl/worksheets/_rels/sheet5.xml.rels><?xml version="1.0" encoding="UTF-8"?>
<Relationships xmlns="http://schemas.openxmlformats.org/package/2006/relationships"><Relationship Id="rId1" Type="http://schemas.openxmlformats.org/officeDocument/2006/relationships/drawing" Target="../drawings/drawing4.xml"/></Relationships>

</file>

<file path=xl/worksheets/_rels/sheet6.xml.rels><?xml version="1.0" encoding="UTF-8"?>
<Relationships xmlns="http://schemas.openxmlformats.org/package/2006/relationships"><Relationship Id="rId1" Type="http://schemas.openxmlformats.org/officeDocument/2006/relationships/drawing" Target="../drawings/drawing5.xml"/></Relationships>

</file>

<file path=xl/worksheets/_rels/sheet7.xml.rels><?xml version="1.0" encoding="UTF-8"?>
<Relationships xmlns="http://schemas.openxmlformats.org/package/2006/relationships"><Relationship Id="rId1" Type="http://schemas.openxmlformats.org/officeDocument/2006/relationships/drawing" Target="../drawings/drawing6.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23</v>
      </c>
      <c r="C11" s="3"/>
      <c r="D11" s="3"/>
    </row>
    <row r="12">
      <c r="B12" s="4"/>
      <c r="C12" t="s" s="4">
        <v>5</v>
      </c>
      <c r="D12" t="s" s="5">
        <v>23</v>
      </c>
    </row>
    <row r="13">
      <c r="B13" t="s" s="3">
        <v>58</v>
      </c>
      <c r="C13" s="3"/>
      <c r="D13" s="3"/>
    </row>
    <row r="14">
      <c r="B14" s="4"/>
      <c r="C14" t="s" s="4">
        <v>5</v>
      </c>
      <c r="D14" t="s" s="5">
        <v>58</v>
      </c>
    </row>
    <row r="15">
      <c r="B15" t="s" s="3">
        <v>93</v>
      </c>
      <c r="C15" s="3"/>
      <c r="D15" s="3"/>
    </row>
    <row r="16">
      <c r="B16" s="4"/>
      <c r="C16" t="s" s="4">
        <v>5</v>
      </c>
      <c r="D16" t="s" s="5">
        <v>93</v>
      </c>
    </row>
    <row r="17">
      <c r="B17" t="s" s="3">
        <v>148</v>
      </c>
      <c r="C17" s="3"/>
      <c r="D17" s="3"/>
    </row>
    <row r="18">
      <c r="B18" s="4"/>
      <c r="C18" t="s" s="4">
        <v>5</v>
      </c>
      <c r="D18" t="s" s="5">
        <v>148</v>
      </c>
    </row>
    <row r="19">
      <c r="B19" t="s" s="3">
        <v>196</v>
      </c>
      <c r="C19" s="3"/>
      <c r="D19" s="3"/>
    </row>
    <row r="20">
      <c r="B20" s="4"/>
      <c r="C20" t="s" s="4">
        <v>5</v>
      </c>
      <c r="D20" t="s" s="5">
        <v>196</v>
      </c>
    </row>
    <row r="21">
      <c r="B21" t="s" s="3">
        <v>202</v>
      </c>
      <c r="C21" s="3"/>
      <c r="D21" s="3"/>
    </row>
    <row r="22">
      <c r="B22" s="4"/>
      <c r="C22" t="s" s="4">
        <v>5</v>
      </c>
      <c r="D22" t="s" s="5">
        <v>202</v>
      </c>
    </row>
    <row r="23">
      <c r="B23" t="s" s="3">
        <v>226</v>
      </c>
      <c r="C23" s="3"/>
      <c r="D23" s="3"/>
    </row>
    <row r="24">
      <c r="B24" s="4"/>
      <c r="C24" t="s" s="4">
        <v>5</v>
      </c>
      <c r="D24" t="s" s="5">
        <v>226</v>
      </c>
    </row>
    <row r="25">
      <c r="B25" t="s" s="3">
        <v>313</v>
      </c>
      <c r="C25" s="3"/>
      <c r="D25" s="3"/>
    </row>
    <row r="26">
      <c r="B26" s="4"/>
      <c r="C26" t="s" s="4">
        <v>5</v>
      </c>
      <c r="D26" t="s" s="5">
        <v>313</v>
      </c>
    </row>
    <row r="27">
      <c r="B27" t="s" s="3">
        <v>340</v>
      </c>
      <c r="C27" s="3"/>
      <c r="D27" s="3"/>
    </row>
    <row r="28">
      <c r="B28" s="4"/>
      <c r="C28" t="s" s="4">
        <v>5</v>
      </c>
      <c r="D28" t="s" s="5">
        <v>340</v>
      </c>
    </row>
  </sheetData>
  <mergeCells count="1">
    <mergeCell ref="B3:D3"/>
  </mergeCells>
  <hyperlinks>
    <hyperlink ref="D10" location="'表紙'!R1C1" tooltip="" display="表紙"/>
    <hyperlink ref="D12" location="'現況シート'!R1C1" tooltip="" display="現況シート"/>
    <hyperlink ref="D14" location="'将来予測シート①'!R1C1" tooltip="" display="将来予測シート①"/>
    <hyperlink ref="D16" location="'将来予測シート②'!R1C1" tooltip="" display="将来予測シート②"/>
    <hyperlink ref="D18" location="'地域特徴シート'!R1C1" tooltip="" display="地域特徴シート"/>
    <hyperlink ref="D20" location="'おわりに'!R1C1" tooltip="" display="おわりに"/>
    <hyperlink ref="D22" location="'管理者入力シート'!R1C1" tooltip="" display="管理者入力シート"/>
    <hyperlink ref="D24" location="'管理者用人口入力シート'!R1C1" tooltip="" display="管理者用人口入力シート"/>
    <hyperlink ref="D26" location="'管理者用グラフシート'!R1C1" tooltip="" display="管理者用グラフシート"/>
    <hyperlink ref="D28" location="'管理者用地域特徴シート'!R1C1" tooltip="" display="管理者用地域特徴シート"/>
  </hyperlinks>
</worksheet>
</file>

<file path=xl/worksheets/sheet10.xml><?xml version="1.0" encoding="utf-8"?>
<worksheet xmlns:r="http://schemas.openxmlformats.org/officeDocument/2006/relationships" xmlns="http://schemas.openxmlformats.org/spreadsheetml/2006/main">
  <dimension ref="A1:U258"/>
  <sheetViews>
    <sheetView workbookViewId="0" showGridLines="0" defaultGridColor="1"/>
  </sheetViews>
  <sheetFormatPr defaultColWidth="9" defaultRowHeight="13.5" customHeight="1" outlineLevelRow="0" outlineLevelCol="0"/>
  <cols>
    <col min="1" max="21" width="9" style="370" customWidth="1"/>
    <col min="22" max="256" width="9" style="370" customWidth="1"/>
  </cols>
  <sheetData>
    <row r="1" ht="16" customHeight="1">
      <c r="A1" t="s" s="371">
        <v>314</v>
      </c>
      <c r="B1" s="8"/>
      <c r="C1" s="8"/>
      <c r="D1" s="8"/>
      <c r="E1" s="8"/>
      <c r="F1" s="8"/>
      <c r="G1" t="s" s="372">
        <v>315</v>
      </c>
      <c r="H1" s="8"/>
      <c r="I1" s="8"/>
      <c r="J1" s="8"/>
      <c r="K1" s="8"/>
      <c r="L1" s="8"/>
      <c r="M1" s="8"/>
      <c r="N1" t="s" s="372">
        <v>316</v>
      </c>
      <c r="O1" s="8"/>
      <c r="P1" s="8"/>
      <c r="Q1" s="8"/>
      <c r="R1" s="8"/>
      <c r="S1" s="8"/>
      <c r="T1" s="8"/>
      <c r="U1" s="9"/>
    </row>
    <row r="2" ht="16" customHeight="1">
      <c r="A2" t="s" s="373">
        <v>317</v>
      </c>
      <c r="B2" s="11"/>
      <c r="C2" s="11"/>
      <c r="D2" s="11"/>
      <c r="E2" s="11"/>
      <c r="F2" s="11"/>
      <c r="G2" t="s" s="374">
        <v>317</v>
      </c>
      <c r="H2" s="11"/>
      <c r="I2" s="11"/>
      <c r="J2" s="11"/>
      <c r="K2" s="11"/>
      <c r="L2" s="11"/>
      <c r="M2" s="11"/>
      <c r="N2" t="s" s="374">
        <v>317</v>
      </c>
      <c r="O2" s="11"/>
      <c r="P2" t="s" s="52">
        <v>318</v>
      </c>
      <c r="Q2" s="11"/>
      <c r="R2" s="11"/>
      <c r="S2" t="s" s="52">
        <v>319</v>
      </c>
      <c r="T2" s="11"/>
      <c r="U2" s="12"/>
    </row>
    <row r="3" ht="16" customHeight="1">
      <c r="A3" s="375"/>
      <c r="B3" s="109"/>
      <c r="C3" t="s" s="376">
        <v>107</v>
      </c>
      <c r="D3" t="s" s="376">
        <v>108</v>
      </c>
      <c r="E3" t="s" s="376">
        <v>290</v>
      </c>
      <c r="F3" s="11"/>
      <c r="G3" s="377"/>
      <c r="H3" s="109"/>
      <c r="I3" t="s" s="376">
        <v>107</v>
      </c>
      <c r="J3" t="s" s="376">
        <v>108</v>
      </c>
      <c r="K3" t="s" s="376">
        <v>290</v>
      </c>
      <c r="L3" s="11"/>
      <c r="M3" s="11"/>
      <c r="N3" s="377"/>
      <c r="O3" s="109"/>
      <c r="P3" t="s" s="376">
        <v>107</v>
      </c>
      <c r="Q3" t="s" s="376">
        <v>108</v>
      </c>
      <c r="R3" t="s" s="376">
        <v>290</v>
      </c>
      <c r="S3" t="s" s="376">
        <v>107</v>
      </c>
      <c r="T3" t="s" s="376">
        <v>108</v>
      </c>
      <c r="U3" t="s" s="378">
        <v>290</v>
      </c>
    </row>
    <row r="4" ht="16" customHeight="1">
      <c r="A4" t="s" s="342">
        <v>211</v>
      </c>
      <c r="B4" s="379">
        <v>2010</v>
      </c>
      <c r="C4" s="380">
        <f>SUM(B41:B61)</f>
        <v>1909</v>
      </c>
      <c r="D4" s="380">
        <f>SUM(C41:C61)</f>
        <v>2109</v>
      </c>
      <c r="E4" s="380">
        <f>C4+D4</f>
        <v>4018</v>
      </c>
      <c r="F4" s="381"/>
      <c r="G4" t="s" s="342">
        <v>211</v>
      </c>
      <c r="H4" s="379">
        <f>B4</f>
        <v>2010</v>
      </c>
      <c r="I4" s="380">
        <f>C4</f>
        <v>1909</v>
      </c>
      <c r="J4" s="380">
        <f>D4</f>
        <v>2109</v>
      </c>
      <c r="K4" s="380">
        <f>I4+J4</f>
        <v>4018</v>
      </c>
      <c r="L4" s="130"/>
      <c r="M4" s="288"/>
      <c r="N4" t="s" s="342">
        <v>211</v>
      </c>
      <c r="O4" s="379">
        <f>H4</f>
        <v>2010</v>
      </c>
      <c r="P4" s="380">
        <f>I4</f>
        <v>1909</v>
      </c>
      <c r="Q4" s="380">
        <f>J4</f>
        <v>2109</v>
      </c>
      <c r="R4" s="380">
        <f>K4</f>
        <v>4018</v>
      </c>
      <c r="S4" s="382"/>
      <c r="T4" s="382"/>
      <c r="U4" s="382"/>
    </row>
    <row r="5" ht="16" customHeight="1">
      <c r="A5" t="s" s="342">
        <v>210</v>
      </c>
      <c r="B5" s="379">
        <v>2015</v>
      </c>
      <c r="C5" s="380">
        <f>SUM(B65:B85)</f>
        <v>1680</v>
      </c>
      <c r="D5" s="380">
        <f>SUM(C65:C85)</f>
        <v>1841</v>
      </c>
      <c r="E5" s="380">
        <f>C5+D5</f>
        <v>3521</v>
      </c>
      <c r="F5" s="381"/>
      <c r="G5" t="s" s="342">
        <v>210</v>
      </c>
      <c r="H5" s="379">
        <f>B5</f>
        <v>2015</v>
      </c>
      <c r="I5" s="380">
        <f>C5</f>
        <v>1680</v>
      </c>
      <c r="J5" s="380">
        <f>D5</f>
        <v>1841</v>
      </c>
      <c r="K5" s="380">
        <f>I5+J5</f>
        <v>3521</v>
      </c>
      <c r="L5" s="130"/>
      <c r="M5" s="288"/>
      <c r="N5" t="s" s="342">
        <v>210</v>
      </c>
      <c r="O5" s="379">
        <f>H5</f>
        <v>2015</v>
      </c>
      <c r="P5" s="380">
        <f>I5</f>
        <v>1680</v>
      </c>
      <c r="Q5" s="380">
        <f>J5</f>
        <v>1841</v>
      </c>
      <c r="R5" s="380">
        <f>K5</f>
        <v>3521</v>
      </c>
      <c r="S5" s="382"/>
      <c r="T5" s="382"/>
      <c r="U5" s="382"/>
    </row>
    <row r="6" ht="16" customHeight="1">
      <c r="A6" t="s" s="342">
        <v>320</v>
      </c>
      <c r="B6" s="379">
        <v>2020</v>
      </c>
      <c r="C6" s="380">
        <f>SUM(B89:B109)</f>
        <v>1461</v>
      </c>
      <c r="D6" s="380">
        <f>SUM(C89:C109)</f>
        <v>1583</v>
      </c>
      <c r="E6" s="380">
        <f>C6+D6</f>
        <v>3044</v>
      </c>
      <c r="F6" s="381"/>
      <c r="G6" t="s" s="342">
        <v>320</v>
      </c>
      <c r="H6" s="379">
        <f>B6</f>
        <v>2020</v>
      </c>
      <c r="I6" s="380">
        <f>C6</f>
        <v>1461</v>
      </c>
      <c r="J6" s="380">
        <f>D6</f>
        <v>1583</v>
      </c>
      <c r="K6" s="380">
        <f>I6+J6</f>
        <v>3044</v>
      </c>
      <c r="L6" s="130"/>
      <c r="M6" s="288"/>
      <c r="N6" t="s" s="342">
        <v>320</v>
      </c>
      <c r="O6" s="379">
        <f>H6</f>
        <v>2020</v>
      </c>
      <c r="P6" s="380">
        <f>I6</f>
        <v>1461</v>
      </c>
      <c r="Q6" s="380">
        <f>J6</f>
        <v>1583</v>
      </c>
      <c r="R6" s="380">
        <f>K6</f>
        <v>3044</v>
      </c>
      <c r="S6" s="382"/>
      <c r="T6" s="382"/>
      <c r="U6" s="382"/>
    </row>
    <row r="7" ht="16" customHeight="1">
      <c r="A7" s="383"/>
      <c r="B7" s="196"/>
      <c r="C7" s="196"/>
      <c r="D7" s="196"/>
      <c r="E7" s="196"/>
      <c r="F7" s="288"/>
      <c r="G7" t="s" s="342">
        <v>321</v>
      </c>
      <c r="H7" s="379">
        <v>2025</v>
      </c>
      <c r="I7" s="380">
        <f>SUM(H69:H89)</f>
        <v>1234</v>
      </c>
      <c r="J7" s="380">
        <f>SUM(I69:I89)</f>
        <v>1332</v>
      </c>
      <c r="K7" s="380">
        <f>I7+J7</f>
        <v>2566</v>
      </c>
      <c r="L7" s="130"/>
      <c r="M7" s="288"/>
      <c r="N7" t="s" s="342">
        <v>321</v>
      </c>
      <c r="O7" s="379">
        <f>H7</f>
        <v>2025</v>
      </c>
      <c r="P7" s="380">
        <f>I7</f>
        <v>1234</v>
      </c>
      <c r="Q7" s="380">
        <f>J7</f>
        <v>1332</v>
      </c>
      <c r="R7" s="380">
        <f>K7</f>
        <v>2566</v>
      </c>
      <c r="S7" s="380">
        <f>SUM(O69:O89)</f>
        <v>1238</v>
      </c>
      <c r="T7" s="380">
        <f>SUM(P69:P89)</f>
        <v>1337</v>
      </c>
      <c r="U7" s="380">
        <f>S7+T7</f>
        <v>2575</v>
      </c>
    </row>
    <row r="8" ht="16" customHeight="1">
      <c r="A8" t="s" s="373">
        <v>322</v>
      </c>
      <c r="B8" s="11"/>
      <c r="C8" s="11"/>
      <c r="D8" s="11"/>
      <c r="E8" s="11"/>
      <c r="F8" s="288"/>
      <c r="G8" t="s" s="342">
        <v>323</v>
      </c>
      <c r="H8" s="379">
        <v>2030</v>
      </c>
      <c r="I8" s="380">
        <f>SUM(H93:H113)</f>
        <v>1026</v>
      </c>
      <c r="J8" s="380">
        <f>SUM(I93:I113)</f>
        <v>1100</v>
      </c>
      <c r="K8" s="380">
        <f>I8+J8</f>
        <v>2126</v>
      </c>
      <c r="L8" s="130"/>
      <c r="M8" s="288"/>
      <c r="N8" t="s" s="342">
        <v>323</v>
      </c>
      <c r="O8" s="379">
        <f>H8</f>
        <v>2030</v>
      </c>
      <c r="P8" s="380">
        <f>I8</f>
        <v>1026</v>
      </c>
      <c r="Q8" s="380">
        <f>J8</f>
        <v>1100</v>
      </c>
      <c r="R8" s="380">
        <f>K8</f>
        <v>2126</v>
      </c>
      <c r="S8" s="380">
        <f>SUM(O93:O113)</f>
        <v>1035</v>
      </c>
      <c r="T8" s="380">
        <f>SUM(P93:P113)</f>
        <v>1109</v>
      </c>
      <c r="U8" s="380">
        <f>S8+T8</f>
        <v>2144</v>
      </c>
    </row>
    <row r="9" ht="16" customHeight="1">
      <c r="A9" t="s" s="384">
        <v>324</v>
      </c>
      <c r="B9" s="109"/>
      <c r="C9" s="109"/>
      <c r="D9" s="11"/>
      <c r="E9" s="11"/>
      <c r="F9" s="288"/>
      <c r="G9" t="s" s="342">
        <v>325</v>
      </c>
      <c r="H9" s="379">
        <v>2035</v>
      </c>
      <c r="I9" s="380">
        <f>SUM(H117:H137)</f>
        <v>838</v>
      </c>
      <c r="J9" s="380">
        <f>SUM(I117:I137)</f>
        <v>901</v>
      </c>
      <c r="K9" s="380">
        <f>I9+J9</f>
        <v>1739</v>
      </c>
      <c r="L9" s="130"/>
      <c r="M9" s="288"/>
      <c r="N9" t="s" s="342">
        <v>325</v>
      </c>
      <c r="O9" s="379">
        <f>H9</f>
        <v>2035</v>
      </c>
      <c r="P9" s="380">
        <f>I9</f>
        <v>838</v>
      </c>
      <c r="Q9" s="380">
        <f>J9</f>
        <v>901</v>
      </c>
      <c r="R9" s="380">
        <f>K9</f>
        <v>1739</v>
      </c>
      <c r="S9" s="380">
        <f>SUM(O117:O137)</f>
        <v>850</v>
      </c>
      <c r="T9" s="380">
        <f>SUM(P117:P137)</f>
        <v>917</v>
      </c>
      <c r="U9" s="380">
        <f>S9+T9</f>
        <v>1767</v>
      </c>
    </row>
    <row r="10" ht="16" customHeight="1">
      <c r="A10" t="s" s="342">
        <v>211</v>
      </c>
      <c r="B10" s="379">
        <f>B4</f>
        <v>2010</v>
      </c>
      <c r="C10" s="380">
        <v>122</v>
      </c>
      <c r="D10" s="385"/>
      <c r="E10" s="70"/>
      <c r="F10" s="288"/>
      <c r="G10" t="s" s="342">
        <v>326</v>
      </c>
      <c r="H10" s="379">
        <v>2040</v>
      </c>
      <c r="I10" s="380">
        <f>SUM(H141:H161)</f>
        <v>674</v>
      </c>
      <c r="J10" s="380">
        <f>SUM(I141:I161)</f>
        <v>730</v>
      </c>
      <c r="K10" s="380">
        <f>I10+J10</f>
        <v>1404</v>
      </c>
      <c r="L10" s="130"/>
      <c r="M10" s="288"/>
      <c r="N10" t="s" s="342">
        <v>326</v>
      </c>
      <c r="O10" s="379">
        <f>H10</f>
        <v>2040</v>
      </c>
      <c r="P10" s="380">
        <f>I10</f>
        <v>674</v>
      </c>
      <c r="Q10" s="380">
        <f>J10</f>
        <v>730</v>
      </c>
      <c r="R10" s="380">
        <f>K10</f>
        <v>1404</v>
      </c>
      <c r="S10" s="380">
        <f>SUM(O141:O161)</f>
        <v>691</v>
      </c>
      <c r="T10" s="380">
        <f>SUM(P141:P161)</f>
        <v>748</v>
      </c>
      <c r="U10" s="380">
        <f>S10+T10</f>
        <v>1439</v>
      </c>
    </row>
    <row r="11" ht="16" customHeight="1">
      <c r="A11" t="s" s="342">
        <v>210</v>
      </c>
      <c r="B11" s="379">
        <f>B5</f>
        <v>2015</v>
      </c>
      <c r="C11" s="380">
        <v>125</v>
      </c>
      <c r="D11" s="385"/>
      <c r="E11" s="70"/>
      <c r="F11" s="11"/>
      <c r="G11" s="196"/>
      <c r="H11" s="196"/>
      <c r="I11" s="364"/>
      <c r="J11" s="364"/>
      <c r="K11" s="364"/>
      <c r="L11" s="11"/>
      <c r="M11" s="11"/>
      <c r="N11" s="196"/>
      <c r="O11" s="196"/>
      <c r="P11" s="364"/>
      <c r="Q11" s="196"/>
      <c r="R11" s="196"/>
      <c r="S11" s="196"/>
      <c r="T11" s="196"/>
      <c r="U11" s="346"/>
    </row>
    <row r="12" ht="16" customHeight="1">
      <c r="A12" t="s" s="342">
        <v>320</v>
      </c>
      <c r="B12" s="379">
        <f>B6</f>
        <v>2020</v>
      </c>
      <c r="C12" s="380">
        <v>96</v>
      </c>
      <c r="D12" s="385"/>
      <c r="E12" s="70"/>
      <c r="F12" s="11"/>
      <c r="G12" t="s" s="374">
        <v>322</v>
      </c>
      <c r="H12" s="11"/>
      <c r="I12" s="11"/>
      <c r="J12" s="11"/>
      <c r="K12" s="11"/>
      <c r="L12" s="11"/>
      <c r="M12" s="11"/>
      <c r="N12" t="s" s="374">
        <v>322</v>
      </c>
      <c r="O12" s="11"/>
      <c r="P12" s="11"/>
      <c r="Q12" s="11"/>
      <c r="R12" s="11"/>
      <c r="S12" s="11"/>
      <c r="T12" s="11"/>
      <c r="U12" s="12"/>
    </row>
    <row r="13" ht="16" customHeight="1">
      <c r="A13" t="s" s="386">
        <v>327</v>
      </c>
      <c r="B13" s="387"/>
      <c r="C13" s="387"/>
      <c r="D13" s="11"/>
      <c r="E13" s="11"/>
      <c r="F13" s="11"/>
      <c r="G13" t="s" s="350">
        <v>324</v>
      </c>
      <c r="H13" s="109"/>
      <c r="I13" s="388"/>
      <c r="J13" s="70"/>
      <c r="K13" s="70"/>
      <c r="L13" s="11"/>
      <c r="M13" s="11"/>
      <c r="N13" t="s" s="350">
        <v>324</v>
      </c>
      <c r="O13" s="109"/>
      <c r="P13" t="s" s="350">
        <v>318</v>
      </c>
      <c r="Q13" t="s" s="350">
        <v>319</v>
      </c>
      <c r="R13" s="11"/>
      <c r="S13" s="11"/>
      <c r="T13" s="11"/>
      <c r="U13" s="12"/>
    </row>
    <row r="14" ht="16" customHeight="1">
      <c r="A14" t="s" s="342">
        <v>211</v>
      </c>
      <c r="B14" s="379">
        <f>B4</f>
        <v>2010</v>
      </c>
      <c r="C14" s="380">
        <v>76</v>
      </c>
      <c r="D14" s="385"/>
      <c r="E14" s="70"/>
      <c r="F14" s="288"/>
      <c r="G14" t="s" s="342">
        <v>211</v>
      </c>
      <c r="H14" s="379">
        <f>H4</f>
        <v>2010</v>
      </c>
      <c r="I14" s="380">
        <f>C10</f>
        <v>122</v>
      </c>
      <c r="J14" s="385"/>
      <c r="K14" s="70"/>
      <c r="L14" s="11"/>
      <c r="M14" s="288"/>
      <c r="N14" t="s" s="342">
        <v>211</v>
      </c>
      <c r="O14" s="379">
        <f>O4</f>
        <v>2010</v>
      </c>
      <c r="P14" s="380">
        <f>I14</f>
        <v>122</v>
      </c>
      <c r="Q14" s="380"/>
      <c r="R14" s="130"/>
      <c r="S14" s="11"/>
      <c r="T14" s="11"/>
      <c r="U14" s="12"/>
    </row>
    <row r="15" ht="16" customHeight="1">
      <c r="A15" t="s" s="342">
        <v>210</v>
      </c>
      <c r="B15" s="379">
        <f>B5</f>
        <v>2015</v>
      </c>
      <c r="C15" s="380">
        <v>61</v>
      </c>
      <c r="D15" s="385"/>
      <c r="E15" s="70"/>
      <c r="F15" s="288"/>
      <c r="G15" t="s" s="342">
        <v>210</v>
      </c>
      <c r="H15" s="379">
        <f>H5</f>
        <v>2015</v>
      </c>
      <c r="I15" s="380">
        <f>C11</f>
        <v>125</v>
      </c>
      <c r="J15" s="385"/>
      <c r="K15" s="70"/>
      <c r="L15" s="11"/>
      <c r="M15" s="288"/>
      <c r="N15" t="s" s="342">
        <v>210</v>
      </c>
      <c r="O15" s="379">
        <f>O5</f>
        <v>2015</v>
      </c>
      <c r="P15" s="380">
        <f>I15</f>
        <v>125</v>
      </c>
      <c r="Q15" s="380"/>
      <c r="R15" s="130"/>
      <c r="S15" s="11"/>
      <c r="T15" s="11"/>
      <c r="U15" s="12"/>
    </row>
    <row r="16" ht="16" customHeight="1">
      <c r="A16" t="s" s="342">
        <v>320</v>
      </c>
      <c r="B16" s="379">
        <f>B6</f>
        <v>2020</v>
      </c>
      <c r="C16" s="380">
        <v>51</v>
      </c>
      <c r="D16" s="385"/>
      <c r="E16" s="70"/>
      <c r="F16" s="288"/>
      <c r="G16" t="s" s="342">
        <v>320</v>
      </c>
      <c r="H16" s="379">
        <f>H6</f>
        <v>2020</v>
      </c>
      <c r="I16" s="380">
        <f>C12</f>
        <v>96</v>
      </c>
      <c r="J16" s="385"/>
      <c r="K16" s="70"/>
      <c r="L16" s="11"/>
      <c r="M16" s="288"/>
      <c r="N16" t="s" s="342">
        <v>320</v>
      </c>
      <c r="O16" s="379">
        <f>O6</f>
        <v>2020</v>
      </c>
      <c r="P16" s="380">
        <f>I16</f>
        <v>96</v>
      </c>
      <c r="Q16" s="380"/>
      <c r="R16" s="130"/>
      <c r="S16" s="11"/>
      <c r="T16" s="11"/>
      <c r="U16" s="12"/>
    </row>
    <row r="17" ht="16" customHeight="1">
      <c r="A17" s="383"/>
      <c r="B17" s="196"/>
      <c r="C17" s="196"/>
      <c r="D17" s="11"/>
      <c r="E17" s="11"/>
      <c r="F17" s="288"/>
      <c r="G17" t="s" s="342">
        <v>321</v>
      </c>
      <c r="H17" s="379">
        <f>H7</f>
        <v>2025</v>
      </c>
      <c r="I17" s="380">
        <v>73</v>
      </c>
      <c r="J17" s="385"/>
      <c r="K17" s="70"/>
      <c r="L17" s="11"/>
      <c r="M17" s="288"/>
      <c r="N17" t="s" s="342">
        <v>321</v>
      </c>
      <c r="O17" s="379">
        <f>O7</f>
        <v>2025</v>
      </c>
      <c r="P17" s="380">
        <f>I17</f>
        <v>73</v>
      </c>
      <c r="Q17" s="380">
        <v>74</v>
      </c>
      <c r="R17" s="130"/>
      <c r="S17" s="11"/>
      <c r="T17" s="11"/>
      <c r="U17" s="12"/>
    </row>
    <row r="18" ht="16" customHeight="1">
      <c r="A18" t="s" s="373">
        <v>328</v>
      </c>
      <c r="B18" s="11"/>
      <c r="C18" s="11"/>
      <c r="D18" s="11"/>
      <c r="E18" s="11"/>
      <c r="F18" s="288"/>
      <c r="G18" t="s" s="342">
        <v>323</v>
      </c>
      <c r="H18" s="379">
        <f>H8</f>
        <v>2030</v>
      </c>
      <c r="I18" s="380">
        <v>54</v>
      </c>
      <c r="J18" s="385"/>
      <c r="K18" s="70"/>
      <c r="L18" s="11"/>
      <c r="M18" s="288"/>
      <c r="N18" t="s" s="342">
        <v>323</v>
      </c>
      <c r="O18" s="379">
        <f>O8</f>
        <v>2030</v>
      </c>
      <c r="P18" s="380">
        <f>I18</f>
        <v>54</v>
      </c>
      <c r="Q18" s="380">
        <v>57</v>
      </c>
      <c r="R18" s="130"/>
      <c r="S18" s="11"/>
      <c r="T18" s="11"/>
      <c r="U18" s="12"/>
    </row>
    <row r="19" ht="16" customHeight="1">
      <c r="A19" t="s" s="384">
        <v>329</v>
      </c>
      <c r="B19" s="109"/>
      <c r="C19" s="109"/>
      <c r="D19" s="11"/>
      <c r="E19" s="11"/>
      <c r="F19" s="288"/>
      <c r="G19" t="s" s="342">
        <v>325</v>
      </c>
      <c r="H19" s="379">
        <f>H9</f>
        <v>2035</v>
      </c>
      <c r="I19" s="380">
        <v>41</v>
      </c>
      <c r="J19" s="385"/>
      <c r="K19" s="70"/>
      <c r="L19" s="11"/>
      <c r="M19" s="288"/>
      <c r="N19" t="s" s="342">
        <v>325</v>
      </c>
      <c r="O19" s="379">
        <f>O9</f>
        <v>2035</v>
      </c>
      <c r="P19" s="380">
        <f>I19</f>
        <v>41</v>
      </c>
      <c r="Q19" s="380">
        <v>45</v>
      </c>
      <c r="R19" s="130"/>
      <c r="S19" s="11"/>
      <c r="T19" s="11"/>
      <c r="U19" s="12"/>
    </row>
    <row r="20" ht="16" customHeight="1">
      <c r="A20" t="s" s="342">
        <v>211</v>
      </c>
      <c r="B20" s="379">
        <f>B4</f>
        <v>2010</v>
      </c>
      <c r="C20" s="380">
        <f>SUM(B54:C61)</f>
        <v>1582</v>
      </c>
      <c r="D20" s="385"/>
      <c r="E20" s="70"/>
      <c r="F20" s="288"/>
      <c r="G20" t="s" s="342">
        <v>326</v>
      </c>
      <c r="H20" s="379">
        <f>H10</f>
        <v>2040</v>
      </c>
      <c r="I20" s="380">
        <v>32</v>
      </c>
      <c r="J20" s="385"/>
      <c r="K20" s="70"/>
      <c r="L20" s="11"/>
      <c r="M20" s="288"/>
      <c r="N20" t="s" s="342">
        <v>326</v>
      </c>
      <c r="O20" s="379">
        <f>O10</f>
        <v>2040</v>
      </c>
      <c r="P20" s="380">
        <f>I20</f>
        <v>32</v>
      </c>
      <c r="Q20" s="380">
        <v>37</v>
      </c>
      <c r="R20" s="130"/>
      <c r="S20" s="11"/>
      <c r="T20" s="11"/>
      <c r="U20" s="12"/>
    </row>
    <row r="21" ht="16" customHeight="1">
      <c r="A21" t="s" s="342">
        <v>210</v>
      </c>
      <c r="B21" s="379">
        <f>B5</f>
        <v>2015</v>
      </c>
      <c r="C21" s="380">
        <f>SUM(B78:C85)</f>
        <v>1554</v>
      </c>
      <c r="D21" s="385"/>
      <c r="E21" s="70"/>
      <c r="F21" s="11"/>
      <c r="G21" t="s" s="389">
        <v>327</v>
      </c>
      <c r="H21" s="387"/>
      <c r="I21" s="390"/>
      <c r="J21" s="70"/>
      <c r="K21" s="70"/>
      <c r="L21" s="11"/>
      <c r="M21" s="11"/>
      <c r="N21" t="s" s="389">
        <v>327</v>
      </c>
      <c r="O21" s="387"/>
      <c r="P21" t="s" s="389">
        <v>318</v>
      </c>
      <c r="Q21" t="s" s="389">
        <v>319</v>
      </c>
      <c r="R21" s="11"/>
      <c r="S21" s="11"/>
      <c r="T21" s="11"/>
      <c r="U21" s="12"/>
    </row>
    <row r="22" ht="16" customHeight="1">
      <c r="A22" t="s" s="342">
        <v>320</v>
      </c>
      <c r="B22" s="379">
        <f>B6</f>
        <v>2020</v>
      </c>
      <c r="C22" s="380">
        <f>SUM(B102:C109)</f>
        <v>1517</v>
      </c>
      <c r="D22" s="385"/>
      <c r="E22" s="70"/>
      <c r="F22" s="288"/>
      <c r="G22" t="s" s="342">
        <v>211</v>
      </c>
      <c r="H22" s="379">
        <f>H4</f>
        <v>2010</v>
      </c>
      <c r="I22" s="380">
        <f>C14</f>
        <v>76</v>
      </c>
      <c r="J22" s="385"/>
      <c r="K22" s="70"/>
      <c r="L22" s="11"/>
      <c r="M22" s="288"/>
      <c r="N22" t="s" s="342">
        <v>211</v>
      </c>
      <c r="O22" s="379">
        <f>O4</f>
        <v>2010</v>
      </c>
      <c r="P22" s="380">
        <f>I22</f>
        <v>76</v>
      </c>
      <c r="Q22" s="380"/>
      <c r="R22" s="130"/>
      <c r="S22" s="11"/>
      <c r="T22" s="11"/>
      <c r="U22" s="12"/>
    </row>
    <row r="23" ht="16" customHeight="1">
      <c r="A23" t="s" s="386">
        <v>330</v>
      </c>
      <c r="B23" s="387"/>
      <c r="C23" s="387"/>
      <c r="D23" s="11"/>
      <c r="E23" s="11"/>
      <c r="F23" s="288"/>
      <c r="G23" t="s" s="342">
        <v>210</v>
      </c>
      <c r="H23" s="379">
        <f>H5</f>
        <v>2015</v>
      </c>
      <c r="I23" s="380">
        <f>C15</f>
        <v>61</v>
      </c>
      <c r="J23" s="385"/>
      <c r="K23" s="70"/>
      <c r="L23" s="11"/>
      <c r="M23" s="288"/>
      <c r="N23" t="s" s="342">
        <v>210</v>
      </c>
      <c r="O23" s="379">
        <f>O5</f>
        <v>2015</v>
      </c>
      <c r="P23" s="380">
        <f>I23</f>
        <v>61</v>
      </c>
      <c r="Q23" s="380"/>
      <c r="R23" s="130"/>
      <c r="S23" s="11"/>
      <c r="T23" s="11"/>
      <c r="U23" s="12"/>
    </row>
    <row r="24" ht="16" customHeight="1">
      <c r="A24" t="s" s="342">
        <v>211</v>
      </c>
      <c r="B24" s="379">
        <f>B4</f>
        <v>2010</v>
      </c>
      <c r="C24" s="380">
        <f>SUM(B56:C61)</f>
        <v>881</v>
      </c>
      <c r="D24" s="385"/>
      <c r="E24" s="70"/>
      <c r="F24" s="288"/>
      <c r="G24" t="s" s="342">
        <v>320</v>
      </c>
      <c r="H24" s="379">
        <f>H6</f>
        <v>2020</v>
      </c>
      <c r="I24" s="380">
        <f>C16</f>
        <v>51</v>
      </c>
      <c r="J24" s="385"/>
      <c r="K24" s="70"/>
      <c r="L24" s="11"/>
      <c r="M24" s="288"/>
      <c r="N24" t="s" s="342">
        <v>320</v>
      </c>
      <c r="O24" s="379">
        <f>O6</f>
        <v>2020</v>
      </c>
      <c r="P24" s="380">
        <f>I24</f>
        <v>51</v>
      </c>
      <c r="Q24" s="380"/>
      <c r="R24" s="130"/>
      <c r="S24" s="11"/>
      <c r="T24" s="11"/>
      <c r="U24" s="12"/>
    </row>
    <row r="25" ht="16" customHeight="1">
      <c r="A25" t="s" s="342">
        <v>210</v>
      </c>
      <c r="B25" s="379">
        <f>B5</f>
        <v>2015</v>
      </c>
      <c r="C25" s="380">
        <f>SUM(B80:C85)</f>
        <v>873</v>
      </c>
      <c r="D25" s="385"/>
      <c r="E25" s="70"/>
      <c r="F25" s="288"/>
      <c r="G25" t="s" s="342">
        <v>321</v>
      </c>
      <c r="H25" s="379">
        <f>H7</f>
        <v>2025</v>
      </c>
      <c r="I25" s="380">
        <v>43</v>
      </c>
      <c r="J25" s="385"/>
      <c r="K25" s="70"/>
      <c r="L25" s="11"/>
      <c r="M25" s="288"/>
      <c r="N25" t="s" s="342">
        <v>321</v>
      </c>
      <c r="O25" s="379">
        <f>O7</f>
        <v>2025</v>
      </c>
      <c r="P25" s="380">
        <f>I25</f>
        <v>43</v>
      </c>
      <c r="Q25" s="380">
        <v>43</v>
      </c>
      <c r="R25" s="130"/>
      <c r="S25" s="11"/>
      <c r="T25" s="11"/>
      <c r="U25" s="12"/>
    </row>
    <row r="26" ht="16" customHeight="1">
      <c r="A26" t="s" s="342">
        <v>320</v>
      </c>
      <c r="B26" s="379">
        <f>B6</f>
        <v>2020</v>
      </c>
      <c r="C26" s="380">
        <f>SUM(B104:C109)</f>
        <v>845</v>
      </c>
      <c r="D26" s="385"/>
      <c r="E26" s="70"/>
      <c r="F26" s="288"/>
      <c r="G26" t="s" s="342">
        <v>323</v>
      </c>
      <c r="H26" s="379">
        <f>H8</f>
        <v>2030</v>
      </c>
      <c r="I26" s="380">
        <v>32</v>
      </c>
      <c r="J26" s="385"/>
      <c r="K26" s="70"/>
      <c r="L26" s="11"/>
      <c r="M26" s="288"/>
      <c r="N26" t="s" s="342">
        <v>323</v>
      </c>
      <c r="O26" s="379">
        <f>O8</f>
        <v>2030</v>
      </c>
      <c r="P26" s="380">
        <f>I26</f>
        <v>32</v>
      </c>
      <c r="Q26" s="380">
        <v>33</v>
      </c>
      <c r="R26" s="130"/>
      <c r="S26" s="11"/>
      <c r="T26" s="11"/>
      <c r="U26" s="12"/>
    </row>
    <row r="27" ht="16" customHeight="1">
      <c r="A27" s="383"/>
      <c r="B27" s="196"/>
      <c r="C27" s="196"/>
      <c r="D27" s="11"/>
      <c r="E27" s="11"/>
      <c r="F27" s="288"/>
      <c r="G27" t="s" s="342">
        <v>325</v>
      </c>
      <c r="H27" s="379">
        <f>H9</f>
        <v>2035</v>
      </c>
      <c r="I27" s="380">
        <v>24</v>
      </c>
      <c r="J27" s="385"/>
      <c r="K27" s="70"/>
      <c r="L27" s="11"/>
      <c r="M27" s="288"/>
      <c r="N27" t="s" s="342">
        <v>325</v>
      </c>
      <c r="O27" s="379">
        <f>O9</f>
        <v>2035</v>
      </c>
      <c r="P27" s="380">
        <f>I27</f>
        <v>24</v>
      </c>
      <c r="Q27" s="380">
        <v>26</v>
      </c>
      <c r="R27" s="130"/>
      <c r="S27" s="11"/>
      <c r="T27" s="11"/>
      <c r="U27" s="12"/>
    </row>
    <row r="28" ht="16" customHeight="1">
      <c r="A28" t="s" s="373">
        <v>331</v>
      </c>
      <c r="B28" s="11"/>
      <c r="C28" s="11"/>
      <c r="D28" s="11"/>
      <c r="E28" s="11"/>
      <c r="F28" s="288"/>
      <c r="G28" t="s" s="342">
        <v>326</v>
      </c>
      <c r="H28" s="379">
        <f>H10</f>
        <v>2040</v>
      </c>
      <c r="I28" s="380">
        <v>18</v>
      </c>
      <c r="J28" s="385"/>
      <c r="K28" s="70"/>
      <c r="L28" s="11"/>
      <c r="M28" s="288"/>
      <c r="N28" t="s" s="342">
        <v>326</v>
      </c>
      <c r="O28" s="379">
        <f>O10</f>
        <v>2040</v>
      </c>
      <c r="P28" s="380">
        <f>I28</f>
        <v>18</v>
      </c>
      <c r="Q28" s="380">
        <v>21</v>
      </c>
      <c r="R28" s="130"/>
      <c r="S28" s="11"/>
      <c r="T28" s="11"/>
      <c r="U28" s="12"/>
    </row>
    <row r="29" ht="16" customHeight="1">
      <c r="A29" t="s" s="384">
        <v>329</v>
      </c>
      <c r="B29" s="109"/>
      <c r="C29" s="109"/>
      <c r="D29" s="11"/>
      <c r="E29" s="11"/>
      <c r="F29" s="11"/>
      <c r="G29" s="196"/>
      <c r="H29" s="196"/>
      <c r="I29" s="196"/>
      <c r="J29" s="11"/>
      <c r="K29" s="11"/>
      <c r="L29" s="11"/>
      <c r="M29" s="11"/>
      <c r="N29" s="196"/>
      <c r="O29" s="196"/>
      <c r="P29" s="196"/>
      <c r="Q29" s="196"/>
      <c r="R29" s="11"/>
      <c r="S29" s="11"/>
      <c r="T29" s="11"/>
      <c r="U29" s="12"/>
    </row>
    <row r="30" ht="16" customHeight="1">
      <c r="A30" t="s" s="342">
        <v>211</v>
      </c>
      <c r="B30" s="379">
        <f>B4</f>
        <v>2010</v>
      </c>
      <c r="C30" s="391">
        <f>ROUND((SUM(B54:C61)/SUM(B41:C61)),2)</f>
        <v>0.39</v>
      </c>
      <c r="D30" s="392"/>
      <c r="E30" s="393"/>
      <c r="F30" s="11"/>
      <c r="G30" t="s" s="374">
        <v>328</v>
      </c>
      <c r="H30" s="11"/>
      <c r="I30" s="11"/>
      <c r="J30" s="11"/>
      <c r="K30" s="11"/>
      <c r="L30" s="11"/>
      <c r="M30" s="11"/>
      <c r="N30" t="s" s="374">
        <v>328</v>
      </c>
      <c r="O30" s="11"/>
      <c r="P30" s="11"/>
      <c r="Q30" s="11"/>
      <c r="R30" s="11"/>
      <c r="S30" s="11"/>
      <c r="T30" s="11"/>
      <c r="U30" s="12"/>
    </row>
    <row r="31" ht="16" customHeight="1">
      <c r="A31" t="s" s="342">
        <v>210</v>
      </c>
      <c r="B31" s="379">
        <f>B5</f>
        <v>2015</v>
      </c>
      <c r="C31" s="391">
        <f>ROUND((SUM(B78:C85)/SUM(B65:C85)),2)</f>
        <v>0.44</v>
      </c>
      <c r="D31" s="392"/>
      <c r="E31" s="393"/>
      <c r="F31" s="11"/>
      <c r="G31" t="s" s="350">
        <v>329</v>
      </c>
      <c r="H31" s="109"/>
      <c r="I31" s="388"/>
      <c r="J31" s="70"/>
      <c r="K31" s="70"/>
      <c r="L31" s="11"/>
      <c r="M31" s="11"/>
      <c r="N31" t="s" s="350">
        <v>329</v>
      </c>
      <c r="O31" s="109"/>
      <c r="P31" t="s" s="350">
        <v>318</v>
      </c>
      <c r="Q31" t="s" s="350">
        <v>319</v>
      </c>
      <c r="R31" s="11"/>
      <c r="S31" s="11"/>
      <c r="T31" s="11"/>
      <c r="U31" s="12"/>
    </row>
    <row r="32" ht="16" customHeight="1">
      <c r="A32" t="s" s="342">
        <v>320</v>
      </c>
      <c r="B32" s="379">
        <f>B6</f>
        <v>2020</v>
      </c>
      <c r="C32" s="391">
        <f>ROUND((SUM(B102:C109)/SUM(B89:C109)),2)</f>
        <v>0.5</v>
      </c>
      <c r="D32" s="392"/>
      <c r="E32" s="393"/>
      <c r="F32" s="288"/>
      <c r="G32" t="s" s="342">
        <v>211</v>
      </c>
      <c r="H32" s="379">
        <f>H4</f>
        <v>2010</v>
      </c>
      <c r="I32" s="380">
        <f>C20</f>
        <v>1582</v>
      </c>
      <c r="J32" s="385"/>
      <c r="K32" s="70"/>
      <c r="L32" s="11"/>
      <c r="M32" s="288"/>
      <c r="N32" t="s" s="342">
        <v>211</v>
      </c>
      <c r="O32" s="379">
        <f>O4</f>
        <v>2010</v>
      </c>
      <c r="P32" s="380">
        <f>I32</f>
        <v>1582</v>
      </c>
      <c r="Q32" s="380"/>
      <c r="R32" s="130"/>
      <c r="S32" s="11"/>
      <c r="T32" s="11"/>
      <c r="U32" s="12"/>
    </row>
    <row r="33" ht="16" customHeight="1">
      <c r="A33" t="s" s="386">
        <v>330</v>
      </c>
      <c r="B33" s="387"/>
      <c r="C33" s="387"/>
      <c r="D33" s="11"/>
      <c r="E33" s="11"/>
      <c r="F33" s="288"/>
      <c r="G33" t="s" s="342">
        <v>210</v>
      </c>
      <c r="H33" s="379">
        <f>H5</f>
        <v>2015</v>
      </c>
      <c r="I33" s="380">
        <f>C21</f>
        <v>1554</v>
      </c>
      <c r="J33" s="385"/>
      <c r="K33" s="70"/>
      <c r="L33" s="11"/>
      <c r="M33" s="288"/>
      <c r="N33" t="s" s="342">
        <v>210</v>
      </c>
      <c r="O33" s="379">
        <f>O5</f>
        <v>2015</v>
      </c>
      <c r="P33" s="380">
        <f>I33</f>
        <v>1554</v>
      </c>
      <c r="Q33" s="380"/>
      <c r="R33" s="130"/>
      <c r="S33" s="11"/>
      <c r="T33" s="11"/>
      <c r="U33" s="12"/>
    </row>
    <row r="34" ht="16" customHeight="1">
      <c r="A34" t="s" s="342">
        <v>211</v>
      </c>
      <c r="B34" s="379">
        <f>B4</f>
        <v>2010</v>
      </c>
      <c r="C34" s="391">
        <f>ROUND((SUM(B56:C61)/SUM(B41:C61)),2)</f>
        <v>0.22</v>
      </c>
      <c r="D34" s="392"/>
      <c r="E34" s="393"/>
      <c r="F34" s="288"/>
      <c r="G34" t="s" s="342">
        <v>320</v>
      </c>
      <c r="H34" s="379">
        <f>H6</f>
        <v>2020</v>
      </c>
      <c r="I34" s="380">
        <f>C22</f>
        <v>1517</v>
      </c>
      <c r="J34" s="385"/>
      <c r="K34" s="70"/>
      <c r="L34" s="11"/>
      <c r="M34" s="288"/>
      <c r="N34" t="s" s="342">
        <v>320</v>
      </c>
      <c r="O34" s="379">
        <f>O6</f>
        <v>2020</v>
      </c>
      <c r="P34" s="380">
        <f>I34</f>
        <v>1517</v>
      </c>
      <c r="Q34" s="380"/>
      <c r="R34" s="130"/>
      <c r="S34" s="11"/>
      <c r="T34" s="11"/>
      <c r="U34" s="12"/>
    </row>
    <row r="35" ht="16" customHeight="1">
      <c r="A35" t="s" s="342">
        <v>210</v>
      </c>
      <c r="B35" s="379">
        <f>B5</f>
        <v>2015</v>
      </c>
      <c r="C35" s="391">
        <f>ROUND((SUM(B80:C85)/SUM(B65:C85)),2)</f>
        <v>0.25</v>
      </c>
      <c r="D35" s="392"/>
      <c r="E35" s="393"/>
      <c r="F35" s="288"/>
      <c r="G35" t="s" s="342">
        <v>321</v>
      </c>
      <c r="H35" s="379">
        <f>H7</f>
        <v>2025</v>
      </c>
      <c r="I35" s="380">
        <f>SUM(H82:I89)</f>
        <v>1395</v>
      </c>
      <c r="J35" s="385"/>
      <c r="K35" s="70"/>
      <c r="L35" s="11"/>
      <c r="M35" s="288"/>
      <c r="N35" t="s" s="342">
        <v>321</v>
      </c>
      <c r="O35" s="379">
        <f>O7</f>
        <v>2025</v>
      </c>
      <c r="P35" s="380">
        <f>I35</f>
        <v>1395</v>
      </c>
      <c r="Q35" s="380">
        <f>SUM(O82:P89)</f>
        <v>1395</v>
      </c>
      <c r="R35" s="130"/>
      <c r="S35" s="11"/>
      <c r="T35" s="11"/>
      <c r="U35" s="12"/>
    </row>
    <row r="36" ht="16" customHeight="1">
      <c r="A36" t="s" s="342">
        <v>320</v>
      </c>
      <c r="B36" s="379">
        <f>B6</f>
        <v>2020</v>
      </c>
      <c r="C36" s="391">
        <f>ROUND((SUM(B104:C109)/SUM(B89:C109)),2)</f>
        <v>0.28</v>
      </c>
      <c r="D36" s="392"/>
      <c r="E36" s="393"/>
      <c r="F36" s="288"/>
      <c r="G36" t="s" s="342">
        <v>323</v>
      </c>
      <c r="H36" s="379">
        <f>H8</f>
        <v>2030</v>
      </c>
      <c r="I36" s="380">
        <f>SUM(H106:I113)</f>
        <v>1188</v>
      </c>
      <c r="J36" s="385"/>
      <c r="K36" s="70"/>
      <c r="L36" s="11"/>
      <c r="M36" s="288"/>
      <c r="N36" t="s" s="342">
        <v>323</v>
      </c>
      <c r="O36" s="379">
        <f>O8</f>
        <v>2030</v>
      </c>
      <c r="P36" s="380">
        <f>I36</f>
        <v>1188</v>
      </c>
      <c r="Q36" s="380">
        <f>SUM(O106:P113)</f>
        <v>1188</v>
      </c>
      <c r="R36" s="130"/>
      <c r="S36" s="11"/>
      <c r="T36" s="11"/>
      <c r="U36" s="12"/>
    </row>
    <row r="37" ht="16" customHeight="1">
      <c r="A37" s="383"/>
      <c r="B37" s="196"/>
      <c r="C37" s="196"/>
      <c r="D37" s="11"/>
      <c r="E37" s="11"/>
      <c r="F37" s="288"/>
      <c r="G37" t="s" s="342">
        <v>325</v>
      </c>
      <c r="H37" s="379">
        <f>H9</f>
        <v>2035</v>
      </c>
      <c r="I37" s="380">
        <f>SUM(H130:I137)</f>
        <v>973</v>
      </c>
      <c r="J37" s="385"/>
      <c r="K37" s="70"/>
      <c r="L37" s="11"/>
      <c r="M37" s="288"/>
      <c r="N37" t="s" s="342">
        <v>325</v>
      </c>
      <c r="O37" s="379">
        <f>O9</f>
        <v>2035</v>
      </c>
      <c r="P37" s="380">
        <f>I37</f>
        <v>973</v>
      </c>
      <c r="Q37" s="380">
        <f>SUM(O130:P137)</f>
        <v>973</v>
      </c>
      <c r="R37" s="130"/>
      <c r="S37" s="11"/>
      <c r="T37" s="11"/>
      <c r="U37" s="12"/>
    </row>
    <row r="38" ht="16" customHeight="1">
      <c r="A38" t="s" s="373">
        <v>332</v>
      </c>
      <c r="B38" s="109"/>
      <c r="C38" s="109"/>
      <c r="D38" s="11"/>
      <c r="E38" s="11"/>
      <c r="F38" s="288"/>
      <c r="G38" t="s" s="342">
        <v>326</v>
      </c>
      <c r="H38" s="379">
        <f>H10</f>
        <v>2040</v>
      </c>
      <c r="I38" s="380">
        <f>SUM(H154:I161)</f>
        <v>781</v>
      </c>
      <c r="J38" s="385"/>
      <c r="K38" s="70"/>
      <c r="L38" s="11"/>
      <c r="M38" s="288"/>
      <c r="N38" t="s" s="342">
        <v>326</v>
      </c>
      <c r="O38" s="379">
        <f>O10</f>
        <v>2040</v>
      </c>
      <c r="P38" s="380">
        <f>I38</f>
        <v>781</v>
      </c>
      <c r="Q38" s="380">
        <f>SUM(O154:P161)</f>
        <v>781</v>
      </c>
      <c r="R38" s="130"/>
      <c r="S38" s="11"/>
      <c r="T38" s="11"/>
      <c r="U38" s="12"/>
    </row>
    <row r="39" ht="16" customHeight="1">
      <c r="A39" t="s" s="282">
        <v>211</v>
      </c>
      <c r="B39" s="394">
        <v>2010</v>
      </c>
      <c r="C39" s="395"/>
      <c r="D39" t="s" s="245">
        <v>333</v>
      </c>
      <c r="E39" s="11"/>
      <c r="F39" s="11"/>
      <c r="G39" t="s" s="389">
        <v>330</v>
      </c>
      <c r="H39" s="387"/>
      <c r="I39" s="390"/>
      <c r="J39" s="70"/>
      <c r="K39" s="70"/>
      <c r="L39" s="11"/>
      <c r="M39" s="11"/>
      <c r="N39" t="s" s="389">
        <v>330</v>
      </c>
      <c r="O39" s="387"/>
      <c r="P39" t="s" s="389">
        <v>318</v>
      </c>
      <c r="Q39" t="s" s="389">
        <v>319</v>
      </c>
      <c r="R39" s="11"/>
      <c r="S39" s="11"/>
      <c r="T39" s="11"/>
      <c r="U39" s="12"/>
    </row>
    <row r="40" ht="16" customHeight="1">
      <c r="A40" t="s" s="282">
        <v>334</v>
      </c>
      <c r="B40" t="s" s="396">
        <v>107</v>
      </c>
      <c r="C40" t="s" s="396">
        <v>108</v>
      </c>
      <c r="D40" s="130"/>
      <c r="E40" s="11"/>
      <c r="F40" s="288"/>
      <c r="G40" t="s" s="342">
        <v>211</v>
      </c>
      <c r="H40" s="379">
        <f>H4</f>
        <v>2010</v>
      </c>
      <c r="I40" s="380">
        <f>C24</f>
        <v>881</v>
      </c>
      <c r="J40" s="385"/>
      <c r="K40" s="70"/>
      <c r="L40" s="11"/>
      <c r="M40" s="288"/>
      <c r="N40" t="s" s="342">
        <v>211</v>
      </c>
      <c r="O40" s="379">
        <f>O4</f>
        <v>2010</v>
      </c>
      <c r="P40" s="380">
        <f>I40</f>
        <v>881</v>
      </c>
      <c r="Q40" s="380"/>
      <c r="R40" s="130"/>
      <c r="S40" s="11"/>
      <c r="T40" s="11"/>
      <c r="U40" s="12"/>
    </row>
    <row r="41" ht="16" customHeight="1">
      <c r="A41" t="s" s="282">
        <v>109</v>
      </c>
      <c r="B41" s="380">
        <v>48</v>
      </c>
      <c r="C41" s="380">
        <v>54</v>
      </c>
      <c r="D41" s="397">
        <v>4</v>
      </c>
      <c r="E41" s="11"/>
      <c r="F41" s="288"/>
      <c r="G41" t="s" s="342">
        <v>210</v>
      </c>
      <c r="H41" s="379">
        <f>H5</f>
        <v>2015</v>
      </c>
      <c r="I41" s="380">
        <f>C25</f>
        <v>873</v>
      </c>
      <c r="J41" s="385"/>
      <c r="K41" s="70"/>
      <c r="L41" s="11"/>
      <c r="M41" s="288"/>
      <c r="N41" t="s" s="342">
        <v>210</v>
      </c>
      <c r="O41" s="379">
        <f>O5</f>
        <v>2015</v>
      </c>
      <c r="P41" s="380">
        <f>I41</f>
        <v>873</v>
      </c>
      <c r="Q41" s="380"/>
      <c r="R41" s="130"/>
      <c r="S41" s="11"/>
      <c r="T41" s="11"/>
      <c r="U41" s="12"/>
    </row>
    <row r="42" ht="16" customHeight="1">
      <c r="A42" t="s" s="282">
        <v>110</v>
      </c>
      <c r="B42" s="380">
        <v>44</v>
      </c>
      <c r="C42" s="380">
        <v>58</v>
      </c>
      <c r="D42" s="397">
        <v>5</v>
      </c>
      <c r="E42" s="11"/>
      <c r="F42" s="288"/>
      <c r="G42" t="s" s="342">
        <v>320</v>
      </c>
      <c r="H42" s="379">
        <f>H6</f>
        <v>2020</v>
      </c>
      <c r="I42" s="380">
        <f>C26</f>
        <v>845</v>
      </c>
      <c r="J42" s="385"/>
      <c r="K42" s="70"/>
      <c r="L42" s="11"/>
      <c r="M42" s="288"/>
      <c r="N42" t="s" s="342">
        <v>320</v>
      </c>
      <c r="O42" s="379">
        <f>O6</f>
        <v>2020</v>
      </c>
      <c r="P42" s="380">
        <f>I42</f>
        <v>845</v>
      </c>
      <c r="Q42" s="380"/>
      <c r="R42" s="130"/>
      <c r="S42" s="11"/>
      <c r="T42" s="11"/>
      <c r="U42" s="12"/>
    </row>
    <row r="43" ht="16" customHeight="1">
      <c r="A43" t="s" s="282">
        <v>111</v>
      </c>
      <c r="B43" s="380">
        <v>57</v>
      </c>
      <c r="C43" s="380">
        <v>44</v>
      </c>
      <c r="D43" s="397">
        <v>6</v>
      </c>
      <c r="E43" s="11"/>
      <c r="F43" s="288"/>
      <c r="G43" t="s" s="342">
        <v>321</v>
      </c>
      <c r="H43" s="379">
        <f>H7</f>
        <v>2025</v>
      </c>
      <c r="I43" s="380">
        <f>SUM(H84:I89)</f>
        <v>823</v>
      </c>
      <c r="J43" s="385"/>
      <c r="K43" s="70"/>
      <c r="L43" s="11"/>
      <c r="M43" s="288"/>
      <c r="N43" t="s" s="342">
        <v>321</v>
      </c>
      <c r="O43" s="379">
        <f>O7</f>
        <v>2025</v>
      </c>
      <c r="P43" s="380">
        <f>I43</f>
        <v>823</v>
      </c>
      <c r="Q43" s="380">
        <f>SUM(O84:P89)</f>
        <v>823</v>
      </c>
      <c r="R43" s="130"/>
      <c r="S43" s="11"/>
      <c r="T43" s="11"/>
      <c r="U43" s="12"/>
    </row>
    <row r="44" ht="16" customHeight="1">
      <c r="A44" t="s" s="282">
        <v>112</v>
      </c>
      <c r="B44" s="380">
        <v>92</v>
      </c>
      <c r="C44" s="380">
        <v>84</v>
      </c>
      <c r="D44" s="397">
        <v>7</v>
      </c>
      <c r="E44" s="11"/>
      <c r="F44" s="288"/>
      <c r="G44" t="s" s="342">
        <v>323</v>
      </c>
      <c r="H44" s="379">
        <f>H8</f>
        <v>2030</v>
      </c>
      <c r="I44" s="380">
        <f>SUM(H108:I113)</f>
        <v>755</v>
      </c>
      <c r="J44" s="385"/>
      <c r="K44" s="70"/>
      <c r="L44" s="11"/>
      <c r="M44" s="288"/>
      <c r="N44" t="s" s="342">
        <v>323</v>
      </c>
      <c r="O44" s="379">
        <f>O8</f>
        <v>2030</v>
      </c>
      <c r="P44" s="380">
        <f>I44</f>
        <v>755</v>
      </c>
      <c r="Q44" s="380">
        <f>SUM(O108:P113)</f>
        <v>755</v>
      </c>
      <c r="R44" s="130"/>
      <c r="S44" s="11"/>
      <c r="T44" s="11"/>
      <c r="U44" s="12"/>
    </row>
    <row r="45" ht="16" customHeight="1">
      <c r="A45" t="s" s="282">
        <v>113</v>
      </c>
      <c r="B45" s="380">
        <v>98</v>
      </c>
      <c r="C45" s="380">
        <v>58</v>
      </c>
      <c r="D45" s="397">
        <v>8</v>
      </c>
      <c r="E45" s="11"/>
      <c r="F45" s="288"/>
      <c r="G45" t="s" s="342">
        <v>325</v>
      </c>
      <c r="H45" s="379">
        <f>H9</f>
        <v>2035</v>
      </c>
      <c r="I45" s="380">
        <f>SUM(H132:I137)</f>
        <v>684</v>
      </c>
      <c r="J45" s="385"/>
      <c r="K45" s="70"/>
      <c r="L45" s="11"/>
      <c r="M45" s="288"/>
      <c r="N45" t="s" s="342">
        <v>325</v>
      </c>
      <c r="O45" s="379">
        <f>O9</f>
        <v>2035</v>
      </c>
      <c r="P45" s="380">
        <f>I45</f>
        <v>684</v>
      </c>
      <c r="Q45" s="380">
        <f>SUM(O132:P137)</f>
        <v>684</v>
      </c>
      <c r="R45" s="130"/>
      <c r="S45" s="11"/>
      <c r="T45" s="11"/>
      <c r="U45" s="12"/>
    </row>
    <row r="46" ht="16" customHeight="1">
      <c r="A46" t="s" s="282">
        <v>114</v>
      </c>
      <c r="B46" s="380">
        <v>68</v>
      </c>
      <c r="C46" s="380">
        <v>76</v>
      </c>
      <c r="D46" s="397">
        <v>9</v>
      </c>
      <c r="E46" s="11"/>
      <c r="F46" s="288"/>
      <c r="G46" t="s" s="342">
        <v>326</v>
      </c>
      <c r="H46" s="379">
        <f>H10</f>
        <v>2040</v>
      </c>
      <c r="I46" s="380">
        <f>SUM(H156:I161)</f>
        <v>554</v>
      </c>
      <c r="J46" s="385"/>
      <c r="K46" s="70"/>
      <c r="L46" s="11"/>
      <c r="M46" s="288"/>
      <c r="N46" t="s" s="342">
        <v>326</v>
      </c>
      <c r="O46" s="379">
        <f>O10</f>
        <v>2040</v>
      </c>
      <c r="P46" s="380">
        <f>I46</f>
        <v>554</v>
      </c>
      <c r="Q46" s="380">
        <f>SUM(O156:P161)</f>
        <v>554</v>
      </c>
      <c r="R46" s="130"/>
      <c r="S46" s="11"/>
      <c r="T46" s="11"/>
      <c r="U46" s="12"/>
    </row>
    <row r="47" ht="16" customHeight="1">
      <c r="A47" t="s" s="282">
        <v>115</v>
      </c>
      <c r="B47" s="380">
        <v>76</v>
      </c>
      <c r="C47" s="380">
        <v>79</v>
      </c>
      <c r="D47" s="397">
        <v>10</v>
      </c>
      <c r="E47" s="11"/>
      <c r="F47" s="11"/>
      <c r="G47" s="196"/>
      <c r="H47" s="196"/>
      <c r="I47" s="196"/>
      <c r="J47" s="11"/>
      <c r="K47" s="11"/>
      <c r="L47" s="11"/>
      <c r="M47" s="11"/>
      <c r="N47" s="196"/>
      <c r="O47" s="196"/>
      <c r="P47" s="196"/>
      <c r="Q47" s="196"/>
      <c r="R47" s="11"/>
      <c r="S47" s="11"/>
      <c r="T47" s="11"/>
      <c r="U47" s="12"/>
    </row>
    <row r="48" ht="16" customHeight="1">
      <c r="A48" t="s" s="282">
        <v>116</v>
      </c>
      <c r="B48" s="380">
        <v>77</v>
      </c>
      <c r="C48" s="380">
        <v>68</v>
      </c>
      <c r="D48" s="397">
        <v>11</v>
      </c>
      <c r="E48" s="11"/>
      <c r="F48" s="11"/>
      <c r="G48" t="s" s="374">
        <v>331</v>
      </c>
      <c r="H48" s="11"/>
      <c r="I48" s="11"/>
      <c r="J48" s="11"/>
      <c r="K48" s="11"/>
      <c r="L48" s="11"/>
      <c r="M48" s="11"/>
      <c r="N48" t="s" s="374">
        <v>331</v>
      </c>
      <c r="O48" s="11"/>
      <c r="P48" s="11"/>
      <c r="Q48" s="11"/>
      <c r="R48" s="11"/>
      <c r="S48" s="11"/>
      <c r="T48" s="11"/>
      <c r="U48" s="12"/>
    </row>
    <row r="49" ht="16" customHeight="1">
      <c r="A49" t="s" s="282">
        <v>117</v>
      </c>
      <c r="B49" s="380">
        <v>72</v>
      </c>
      <c r="C49" s="380">
        <v>68</v>
      </c>
      <c r="D49" s="397">
        <v>12</v>
      </c>
      <c r="E49" s="11"/>
      <c r="F49" s="11"/>
      <c r="G49" t="s" s="350">
        <v>329</v>
      </c>
      <c r="H49" s="109"/>
      <c r="I49" s="388"/>
      <c r="J49" s="70"/>
      <c r="K49" s="70"/>
      <c r="L49" s="11"/>
      <c r="M49" s="11"/>
      <c r="N49" t="s" s="350">
        <v>329</v>
      </c>
      <c r="O49" s="109"/>
      <c r="P49" t="s" s="350">
        <v>318</v>
      </c>
      <c r="Q49" t="s" s="350">
        <v>319</v>
      </c>
      <c r="R49" s="11"/>
      <c r="S49" s="11"/>
      <c r="T49" s="11"/>
      <c r="U49" s="12"/>
    </row>
    <row r="50" ht="16" customHeight="1">
      <c r="A50" t="s" s="282">
        <v>118</v>
      </c>
      <c r="B50" s="380">
        <v>80</v>
      </c>
      <c r="C50" s="380">
        <v>105</v>
      </c>
      <c r="D50" s="397">
        <v>13</v>
      </c>
      <c r="E50" s="11"/>
      <c r="F50" s="288"/>
      <c r="G50" t="s" s="342">
        <v>211</v>
      </c>
      <c r="H50" s="379">
        <f>H4</f>
        <v>2010</v>
      </c>
      <c r="I50" s="391">
        <f>C30</f>
        <v>0.39</v>
      </c>
      <c r="J50" s="392"/>
      <c r="K50" s="393"/>
      <c r="L50" s="11"/>
      <c r="M50" s="288"/>
      <c r="N50" t="s" s="342">
        <v>211</v>
      </c>
      <c r="O50" s="379">
        <f>O4</f>
        <v>2010</v>
      </c>
      <c r="P50" s="391">
        <f>I50</f>
        <v>0.39</v>
      </c>
      <c r="Q50" s="382"/>
      <c r="R50" s="130"/>
      <c r="S50" s="11"/>
      <c r="T50" s="11"/>
      <c r="U50" s="12"/>
    </row>
    <row r="51" ht="16" customHeight="1">
      <c r="A51" t="s" s="282">
        <v>119</v>
      </c>
      <c r="B51" s="380">
        <v>160</v>
      </c>
      <c r="C51" s="380">
        <v>136</v>
      </c>
      <c r="D51" s="397">
        <v>14</v>
      </c>
      <c r="E51" s="11"/>
      <c r="F51" s="288"/>
      <c r="G51" t="s" s="342">
        <v>210</v>
      </c>
      <c r="H51" s="379">
        <f>H5</f>
        <v>2015</v>
      </c>
      <c r="I51" s="391">
        <f>C31</f>
        <v>0.44</v>
      </c>
      <c r="J51" s="392"/>
      <c r="K51" s="393"/>
      <c r="L51" s="11"/>
      <c r="M51" s="288"/>
      <c r="N51" t="s" s="342">
        <v>210</v>
      </c>
      <c r="O51" s="379">
        <f>O5</f>
        <v>2015</v>
      </c>
      <c r="P51" s="391">
        <f>I51</f>
        <v>0.44</v>
      </c>
      <c r="Q51" s="382"/>
      <c r="R51" s="130"/>
      <c r="S51" s="11"/>
      <c r="T51" s="11"/>
      <c r="U51" s="12"/>
    </row>
    <row r="52" ht="16" customHeight="1">
      <c r="A52" t="s" s="282">
        <v>120</v>
      </c>
      <c r="B52" s="380">
        <v>167</v>
      </c>
      <c r="C52" s="380">
        <v>167</v>
      </c>
      <c r="D52" s="397">
        <v>15</v>
      </c>
      <c r="E52" s="11"/>
      <c r="F52" s="288"/>
      <c r="G52" t="s" s="342">
        <v>320</v>
      </c>
      <c r="H52" s="379">
        <f>H6</f>
        <v>2020</v>
      </c>
      <c r="I52" s="391">
        <f>C32</f>
        <v>0.5</v>
      </c>
      <c r="J52" s="392"/>
      <c r="K52" s="393"/>
      <c r="L52" s="11"/>
      <c r="M52" s="288"/>
      <c r="N52" t="s" s="342">
        <v>320</v>
      </c>
      <c r="O52" s="379">
        <f>O6</f>
        <v>2020</v>
      </c>
      <c r="P52" s="391">
        <f>I52</f>
        <v>0.5</v>
      </c>
      <c r="Q52" s="382"/>
      <c r="R52" s="130"/>
      <c r="S52" s="11"/>
      <c r="T52" s="11"/>
      <c r="U52" s="12"/>
    </row>
    <row r="53" ht="16" customHeight="1">
      <c r="A53" t="s" s="282">
        <v>121</v>
      </c>
      <c r="B53" s="380">
        <v>206</v>
      </c>
      <c r="C53" s="380">
        <v>194</v>
      </c>
      <c r="D53" s="397">
        <v>16</v>
      </c>
      <c r="E53" s="11"/>
      <c r="F53" s="288"/>
      <c r="G53" t="s" s="342">
        <v>321</v>
      </c>
      <c r="H53" s="379">
        <f>H7</f>
        <v>2025</v>
      </c>
      <c r="I53" s="391">
        <f>ROUND((SUM(H82:I89)/SUM(H69:I89)),2)</f>
        <v>0.54</v>
      </c>
      <c r="J53" s="392"/>
      <c r="K53" s="393"/>
      <c r="L53" s="70"/>
      <c r="M53" s="331"/>
      <c r="N53" t="s" s="342">
        <v>321</v>
      </c>
      <c r="O53" s="379">
        <f>O7</f>
        <v>2025</v>
      </c>
      <c r="P53" s="391">
        <f>I53</f>
        <v>0.54</v>
      </c>
      <c r="Q53" s="391">
        <f>ROUND((SUM(O82:P89)/SUM(O69:P89)),2)</f>
        <v>0.54</v>
      </c>
      <c r="R53" s="130"/>
      <c r="S53" s="11"/>
      <c r="T53" s="11"/>
      <c r="U53" s="12"/>
    </row>
    <row r="54" ht="16" customHeight="1">
      <c r="A54" t="s" s="282">
        <v>228</v>
      </c>
      <c r="B54" s="380">
        <v>150</v>
      </c>
      <c r="C54" s="380">
        <v>174</v>
      </c>
      <c r="D54" s="397">
        <v>17</v>
      </c>
      <c r="E54" s="11"/>
      <c r="F54" s="288"/>
      <c r="G54" t="s" s="342">
        <v>323</v>
      </c>
      <c r="H54" s="379">
        <f>H8</f>
        <v>2030</v>
      </c>
      <c r="I54" s="391">
        <f>ROUND((SUM(H106:I113)/SUM(H93:I113)),2)</f>
        <v>0.5600000000000001</v>
      </c>
      <c r="J54" s="392"/>
      <c r="K54" s="393"/>
      <c r="L54" s="11"/>
      <c r="M54" s="288"/>
      <c r="N54" t="s" s="342">
        <v>323</v>
      </c>
      <c r="O54" s="379">
        <f>O8</f>
        <v>2030</v>
      </c>
      <c r="P54" s="391">
        <f>I54</f>
        <v>0.5600000000000001</v>
      </c>
      <c r="Q54" s="391">
        <f>ROUND((SUM(O106:P113)/SUM(O93:P113)),2)</f>
        <v>0.55</v>
      </c>
      <c r="R54" s="130"/>
      <c r="S54" s="11"/>
      <c r="T54" s="11"/>
      <c r="U54" s="12"/>
    </row>
    <row r="55" ht="16" customHeight="1">
      <c r="A55" t="s" s="282">
        <v>229</v>
      </c>
      <c r="B55" s="380">
        <v>182</v>
      </c>
      <c r="C55" s="380">
        <v>195</v>
      </c>
      <c r="D55" s="397">
        <v>18</v>
      </c>
      <c r="E55" s="11"/>
      <c r="F55" s="288"/>
      <c r="G55" t="s" s="342">
        <v>325</v>
      </c>
      <c r="H55" s="379">
        <f>H9</f>
        <v>2035</v>
      </c>
      <c r="I55" s="391">
        <f>ROUND((SUM(H130:I137)/SUM(H117:I137)),2)</f>
        <v>0.5600000000000001</v>
      </c>
      <c r="J55" s="392"/>
      <c r="K55" s="393"/>
      <c r="L55" s="11"/>
      <c r="M55" s="288"/>
      <c r="N55" t="s" s="342">
        <v>325</v>
      </c>
      <c r="O55" s="379">
        <f>O9</f>
        <v>2035</v>
      </c>
      <c r="P55" s="391">
        <f>I55</f>
        <v>0.5600000000000001</v>
      </c>
      <c r="Q55" s="391">
        <f>ROUND((SUM(O130:P137)/SUM(O117:P137)),2)</f>
        <v>0.55</v>
      </c>
      <c r="R55" s="130"/>
      <c r="S55" s="11"/>
      <c r="T55" s="11"/>
      <c r="U55" s="12"/>
    </row>
    <row r="56" ht="16" customHeight="1">
      <c r="A56" t="s" s="282">
        <v>230</v>
      </c>
      <c r="B56" s="380">
        <v>156</v>
      </c>
      <c r="C56" s="380">
        <v>222</v>
      </c>
      <c r="D56" s="397">
        <v>19</v>
      </c>
      <c r="E56" s="11"/>
      <c r="F56" s="288"/>
      <c r="G56" t="s" s="342">
        <v>326</v>
      </c>
      <c r="H56" s="379">
        <f>H10</f>
        <v>2040</v>
      </c>
      <c r="I56" s="391">
        <f>ROUND((SUM(H154:I161)/SUM(H141:I161)),2)</f>
        <v>0.5600000000000001</v>
      </c>
      <c r="J56" s="392"/>
      <c r="K56" s="393"/>
      <c r="L56" s="11"/>
      <c r="M56" s="288"/>
      <c r="N56" t="s" s="342">
        <v>326</v>
      </c>
      <c r="O56" s="379">
        <f>O10</f>
        <v>2040</v>
      </c>
      <c r="P56" s="391">
        <f>I56</f>
        <v>0.5600000000000001</v>
      </c>
      <c r="Q56" s="391">
        <f>ROUND((SUM(O154:P161)/SUM(O141:P161)),2)</f>
        <v>0.54</v>
      </c>
      <c r="R56" s="130"/>
      <c r="S56" s="11"/>
      <c r="T56" s="11"/>
      <c r="U56" s="12"/>
    </row>
    <row r="57" ht="16" customHeight="1">
      <c r="A57" t="s" s="282">
        <v>231</v>
      </c>
      <c r="B57" s="380">
        <v>104</v>
      </c>
      <c r="C57" s="380">
        <v>163</v>
      </c>
      <c r="D57" s="397">
        <v>20</v>
      </c>
      <c r="E57" s="11"/>
      <c r="F57" s="11"/>
      <c r="G57" t="s" s="389">
        <v>330</v>
      </c>
      <c r="H57" s="387"/>
      <c r="I57" s="390"/>
      <c r="J57" s="70"/>
      <c r="K57" s="70"/>
      <c r="L57" s="11"/>
      <c r="M57" s="11"/>
      <c r="N57" t="s" s="389">
        <v>330</v>
      </c>
      <c r="O57" s="387"/>
      <c r="P57" t="s" s="389">
        <v>318</v>
      </c>
      <c r="Q57" t="s" s="389">
        <v>319</v>
      </c>
      <c r="R57" s="11"/>
      <c r="S57" s="11"/>
      <c r="T57" s="11"/>
      <c r="U57" s="12"/>
    </row>
    <row r="58" ht="16" customHeight="1">
      <c r="A58" t="s" s="282">
        <v>232</v>
      </c>
      <c r="B58" s="380">
        <v>51</v>
      </c>
      <c r="C58" s="380">
        <v>105</v>
      </c>
      <c r="D58" s="397">
        <v>21</v>
      </c>
      <c r="E58" s="11"/>
      <c r="F58" s="288"/>
      <c r="G58" t="s" s="342">
        <v>211</v>
      </c>
      <c r="H58" s="379">
        <f>H4</f>
        <v>2010</v>
      </c>
      <c r="I58" s="391">
        <f>C34</f>
        <v>0.22</v>
      </c>
      <c r="J58" s="392"/>
      <c r="K58" s="393"/>
      <c r="L58" s="11"/>
      <c r="M58" s="288"/>
      <c r="N58" t="s" s="342">
        <v>211</v>
      </c>
      <c r="O58" s="379">
        <f>O4</f>
        <v>2010</v>
      </c>
      <c r="P58" s="391">
        <f>I58</f>
        <v>0.22</v>
      </c>
      <c r="Q58" s="382"/>
      <c r="R58" s="130"/>
      <c r="S58" s="11"/>
      <c r="T58" s="11"/>
      <c r="U58" s="12"/>
    </row>
    <row r="59" ht="16" customHeight="1">
      <c r="A59" t="s" s="282">
        <v>233</v>
      </c>
      <c r="B59" s="380">
        <v>16</v>
      </c>
      <c r="C59" s="380">
        <v>43</v>
      </c>
      <c r="D59" s="397">
        <v>22</v>
      </c>
      <c r="E59" s="11"/>
      <c r="F59" s="288"/>
      <c r="G59" t="s" s="342">
        <v>210</v>
      </c>
      <c r="H59" s="379">
        <f>H5</f>
        <v>2015</v>
      </c>
      <c r="I59" s="391">
        <f>C35</f>
        <v>0.25</v>
      </c>
      <c r="J59" s="392"/>
      <c r="K59" s="393"/>
      <c r="L59" s="11"/>
      <c r="M59" s="288"/>
      <c r="N59" t="s" s="342">
        <v>210</v>
      </c>
      <c r="O59" s="379">
        <f>O5</f>
        <v>2015</v>
      </c>
      <c r="P59" s="391">
        <f>I59</f>
        <v>0.25</v>
      </c>
      <c r="Q59" s="382"/>
      <c r="R59" s="130"/>
      <c r="S59" s="11"/>
      <c r="T59" s="11"/>
      <c r="U59" s="12"/>
    </row>
    <row r="60" ht="16" customHeight="1">
      <c r="A60" t="s" s="282">
        <v>234</v>
      </c>
      <c r="B60" s="380">
        <v>5</v>
      </c>
      <c r="C60" s="380">
        <v>14</v>
      </c>
      <c r="D60" s="397">
        <v>23</v>
      </c>
      <c r="E60" s="11"/>
      <c r="F60" s="288"/>
      <c r="G60" t="s" s="342">
        <v>320</v>
      </c>
      <c r="H60" s="379">
        <f>H6</f>
        <v>2020</v>
      </c>
      <c r="I60" s="391">
        <f>C36</f>
        <v>0.28</v>
      </c>
      <c r="J60" s="392"/>
      <c r="K60" s="393"/>
      <c r="L60" s="11"/>
      <c r="M60" s="288"/>
      <c r="N60" t="s" s="342">
        <v>320</v>
      </c>
      <c r="O60" s="379">
        <f>O6</f>
        <v>2020</v>
      </c>
      <c r="P60" s="391">
        <f>I60</f>
        <v>0.28</v>
      </c>
      <c r="Q60" s="382"/>
      <c r="R60" s="130"/>
      <c r="S60" s="11"/>
      <c r="T60" s="11"/>
      <c r="U60" s="12"/>
    </row>
    <row r="61" ht="16" customHeight="1">
      <c r="A61" t="s" s="282">
        <v>235</v>
      </c>
      <c r="B61" s="380">
        <v>0</v>
      </c>
      <c r="C61" s="380">
        <v>2</v>
      </c>
      <c r="D61" s="397">
        <v>24</v>
      </c>
      <c r="E61" s="11"/>
      <c r="F61" s="288"/>
      <c r="G61" t="s" s="342">
        <v>321</v>
      </c>
      <c r="H61" s="379">
        <f>H7</f>
        <v>2025</v>
      </c>
      <c r="I61" s="391">
        <f>ROUND((SUM(H84:I89)/SUM(H69:I89)),2)</f>
        <v>0.32</v>
      </c>
      <c r="J61" s="392"/>
      <c r="K61" s="393"/>
      <c r="L61" s="11"/>
      <c r="M61" s="288"/>
      <c r="N61" t="s" s="342">
        <v>321</v>
      </c>
      <c r="O61" s="379">
        <f>O7</f>
        <v>2025</v>
      </c>
      <c r="P61" s="391">
        <f>I61</f>
        <v>0.32</v>
      </c>
      <c r="Q61" s="391">
        <f>ROUND((SUM(O84:P89)/SUM(O69:P89)),2)</f>
        <v>0.32</v>
      </c>
      <c r="R61" s="130"/>
      <c r="S61" s="11"/>
      <c r="T61" s="11"/>
      <c r="U61" s="12"/>
    </row>
    <row r="62" ht="16" customHeight="1">
      <c r="A62" s="10"/>
      <c r="B62" s="387"/>
      <c r="C62" s="387"/>
      <c r="D62" s="11"/>
      <c r="E62" s="11"/>
      <c r="F62" s="288"/>
      <c r="G62" t="s" s="342">
        <v>323</v>
      </c>
      <c r="H62" s="379">
        <f>H8</f>
        <v>2030</v>
      </c>
      <c r="I62" s="391">
        <f>ROUND((SUM(H108:I113)/SUM(H93:I113)),2)</f>
        <v>0.36</v>
      </c>
      <c r="J62" s="392"/>
      <c r="K62" s="393"/>
      <c r="L62" s="11"/>
      <c r="M62" s="288"/>
      <c r="N62" t="s" s="342">
        <v>323</v>
      </c>
      <c r="O62" s="379">
        <f>O8</f>
        <v>2030</v>
      </c>
      <c r="P62" s="391">
        <f>I62</f>
        <v>0.36</v>
      </c>
      <c r="Q62" s="391">
        <f>ROUND((SUM(O108:P113)/SUM(O93:P113)),2)</f>
        <v>0.35</v>
      </c>
      <c r="R62" s="130"/>
      <c r="S62" s="11"/>
      <c r="T62" s="11"/>
      <c r="U62" s="12"/>
    </row>
    <row r="63" ht="16" customHeight="1">
      <c r="A63" t="s" s="282">
        <v>210</v>
      </c>
      <c r="B63" s="394">
        <v>2015</v>
      </c>
      <c r="C63" s="395"/>
      <c r="D63" t="s" s="245">
        <v>333</v>
      </c>
      <c r="E63" s="11"/>
      <c r="F63" s="288"/>
      <c r="G63" t="s" s="342">
        <v>325</v>
      </c>
      <c r="H63" s="379">
        <f>H9</f>
        <v>2035</v>
      </c>
      <c r="I63" s="391">
        <f>ROUND((SUM(H132:I137)/SUM(H117:I137)),2)</f>
        <v>0.39</v>
      </c>
      <c r="J63" s="392"/>
      <c r="K63" s="393"/>
      <c r="L63" s="11"/>
      <c r="M63" s="288"/>
      <c r="N63" t="s" s="342">
        <v>325</v>
      </c>
      <c r="O63" s="379">
        <f>O9</f>
        <v>2035</v>
      </c>
      <c r="P63" s="391">
        <f>I63</f>
        <v>0.39</v>
      </c>
      <c r="Q63" s="391">
        <f>ROUND((SUM(O132:P137)/SUM(O117:P137)),2)</f>
        <v>0.39</v>
      </c>
      <c r="R63" s="130"/>
      <c r="S63" s="11"/>
      <c r="T63" s="11"/>
      <c r="U63" s="12"/>
    </row>
    <row r="64" ht="16" customHeight="1">
      <c r="A64" t="s" s="282">
        <v>334</v>
      </c>
      <c r="B64" t="s" s="396">
        <v>107</v>
      </c>
      <c r="C64" t="s" s="396">
        <v>108</v>
      </c>
      <c r="D64" s="130"/>
      <c r="E64" s="11"/>
      <c r="F64" s="288"/>
      <c r="G64" t="s" s="342">
        <v>326</v>
      </c>
      <c r="H64" s="379">
        <f>H10</f>
        <v>2040</v>
      </c>
      <c r="I64" s="391">
        <f>ROUND((SUM(H156:I161)/SUM(H141:I161)),2)</f>
        <v>0.39</v>
      </c>
      <c r="J64" s="392"/>
      <c r="K64" s="393"/>
      <c r="L64" s="11"/>
      <c r="M64" s="288"/>
      <c r="N64" t="s" s="342">
        <v>326</v>
      </c>
      <c r="O64" s="379">
        <f>O10</f>
        <v>2040</v>
      </c>
      <c r="P64" s="391">
        <f>I64</f>
        <v>0.39</v>
      </c>
      <c r="Q64" s="391">
        <f>ROUND((SUM(O156:P161)/SUM(O141:P161)),2)</f>
        <v>0.38</v>
      </c>
      <c r="R64" s="130"/>
      <c r="S64" s="11"/>
      <c r="T64" s="11"/>
      <c r="U64" s="12"/>
    </row>
    <row r="65" ht="16" customHeight="1">
      <c r="A65" t="s" s="282">
        <v>109</v>
      </c>
      <c r="B65" s="380">
        <v>40</v>
      </c>
      <c r="C65" s="380">
        <v>41</v>
      </c>
      <c r="D65" s="397">
        <v>4</v>
      </c>
      <c r="E65" s="11"/>
      <c r="F65" s="11"/>
      <c r="G65" s="196"/>
      <c r="H65" s="196"/>
      <c r="I65" s="196"/>
      <c r="J65" s="11"/>
      <c r="K65" s="11"/>
      <c r="L65" s="11"/>
      <c r="M65" s="11"/>
      <c r="N65" s="196"/>
      <c r="O65" s="196"/>
      <c r="P65" s="196"/>
      <c r="Q65" s="196"/>
      <c r="R65" s="11"/>
      <c r="S65" s="11"/>
      <c r="T65" s="11"/>
      <c r="U65" s="12"/>
    </row>
    <row r="66" ht="16" customHeight="1">
      <c r="A66" t="s" s="282">
        <v>110</v>
      </c>
      <c r="B66" s="380">
        <v>51</v>
      </c>
      <c r="C66" s="380">
        <v>50</v>
      </c>
      <c r="D66" s="397">
        <v>5</v>
      </c>
      <c r="E66" s="11"/>
      <c r="F66" s="11"/>
      <c r="G66" t="s" s="374">
        <v>332</v>
      </c>
      <c r="H66" s="109"/>
      <c r="I66" s="109"/>
      <c r="J66" s="11"/>
      <c r="K66" s="11"/>
      <c r="L66" s="11"/>
      <c r="M66" s="11"/>
      <c r="N66" t="s" s="374">
        <v>332</v>
      </c>
      <c r="O66" s="109"/>
      <c r="P66" s="109"/>
      <c r="Q66" s="11"/>
      <c r="R66" s="11"/>
      <c r="S66" s="11"/>
      <c r="T66" s="11"/>
      <c r="U66" s="12"/>
    </row>
    <row r="67" ht="16" customHeight="1">
      <c r="A67" t="s" s="282">
        <v>111</v>
      </c>
      <c r="B67" s="380">
        <v>55</v>
      </c>
      <c r="C67" s="380">
        <v>52</v>
      </c>
      <c r="D67" s="397">
        <v>6</v>
      </c>
      <c r="E67" s="11"/>
      <c r="F67" s="11"/>
      <c r="G67" t="s" s="294">
        <v>321</v>
      </c>
      <c r="H67" s="394">
        <v>2025</v>
      </c>
      <c r="I67" s="395"/>
      <c r="J67" t="s" s="245">
        <v>333</v>
      </c>
      <c r="K67" s="398"/>
      <c r="L67" s="11"/>
      <c r="M67" s="11"/>
      <c r="N67" s="288"/>
      <c r="O67" s="394">
        <v>2025</v>
      </c>
      <c r="P67" s="395"/>
      <c r="Q67" t="s" s="245">
        <v>333</v>
      </c>
      <c r="R67" s="11"/>
      <c r="S67" s="11"/>
      <c r="T67" s="11"/>
      <c r="U67" s="12"/>
    </row>
    <row r="68" ht="16" customHeight="1">
      <c r="A68" t="s" s="282">
        <v>112</v>
      </c>
      <c r="B68" s="380">
        <v>52</v>
      </c>
      <c r="C68" s="380">
        <v>38</v>
      </c>
      <c r="D68" s="397">
        <v>7</v>
      </c>
      <c r="E68" s="11"/>
      <c r="F68" s="11"/>
      <c r="G68" t="s" s="294">
        <v>334</v>
      </c>
      <c r="H68" t="s" s="396">
        <v>107</v>
      </c>
      <c r="I68" t="s" s="396">
        <v>108</v>
      </c>
      <c r="J68" s="130"/>
      <c r="K68" s="398"/>
      <c r="L68" s="11"/>
      <c r="M68" s="11"/>
      <c r="N68" t="s" s="294">
        <v>334</v>
      </c>
      <c r="O68" t="s" s="396">
        <v>107</v>
      </c>
      <c r="P68" t="s" s="396">
        <v>108</v>
      </c>
      <c r="Q68" s="130"/>
      <c r="R68" s="11"/>
      <c r="S68" s="11"/>
      <c r="T68" s="11"/>
      <c r="U68" s="12"/>
    </row>
    <row r="69" ht="16" customHeight="1">
      <c r="A69" t="s" s="282">
        <v>113</v>
      </c>
      <c r="B69" s="380">
        <v>77</v>
      </c>
      <c r="C69" s="380">
        <v>44</v>
      </c>
      <c r="D69" s="397">
        <v>8</v>
      </c>
      <c r="E69" s="11"/>
      <c r="F69" s="11"/>
      <c r="G69" t="s" s="294">
        <v>109</v>
      </c>
      <c r="H69" s="380">
        <v>24</v>
      </c>
      <c r="I69" s="380">
        <v>19</v>
      </c>
      <c r="J69" s="397">
        <v>4</v>
      </c>
      <c r="K69" s="70"/>
      <c r="L69" s="11"/>
      <c r="M69" s="11"/>
      <c r="N69" t="s" s="294">
        <v>109</v>
      </c>
      <c r="O69" s="380">
        <v>25</v>
      </c>
      <c r="P69" s="380">
        <v>20</v>
      </c>
      <c r="Q69" s="397">
        <v>4</v>
      </c>
      <c r="R69" s="11"/>
      <c r="S69" s="11"/>
      <c r="T69" s="11"/>
      <c r="U69" s="399"/>
    </row>
    <row r="70" ht="16" customHeight="1">
      <c r="A70" t="s" s="282">
        <v>114</v>
      </c>
      <c r="B70" s="380">
        <v>38</v>
      </c>
      <c r="C70" s="380">
        <v>61</v>
      </c>
      <c r="D70" s="397">
        <v>9</v>
      </c>
      <c r="E70" s="11"/>
      <c r="F70" s="11"/>
      <c r="G70" t="s" s="294">
        <v>110</v>
      </c>
      <c r="H70" s="380">
        <v>30</v>
      </c>
      <c r="I70" s="380">
        <v>21</v>
      </c>
      <c r="J70" s="397">
        <v>5</v>
      </c>
      <c r="K70" s="70"/>
      <c r="L70" s="11"/>
      <c r="M70" s="11"/>
      <c r="N70" t="s" s="294">
        <v>110</v>
      </c>
      <c r="O70" s="380">
        <v>30</v>
      </c>
      <c r="P70" s="380">
        <v>21</v>
      </c>
      <c r="Q70" s="397">
        <v>5</v>
      </c>
      <c r="R70" s="11"/>
      <c r="S70" s="11"/>
      <c r="T70" s="11"/>
      <c r="U70" s="399"/>
    </row>
    <row r="71" ht="16" customHeight="1">
      <c r="A71" t="s" s="282">
        <v>115</v>
      </c>
      <c r="B71" s="380">
        <v>63</v>
      </c>
      <c r="C71" s="380">
        <v>65</v>
      </c>
      <c r="D71" s="397">
        <v>10</v>
      </c>
      <c r="E71" s="11"/>
      <c r="F71" s="11"/>
      <c r="G71" t="s" s="294">
        <v>111</v>
      </c>
      <c r="H71" s="380">
        <v>39</v>
      </c>
      <c r="I71" s="380">
        <v>31</v>
      </c>
      <c r="J71" s="397">
        <v>6</v>
      </c>
      <c r="K71" s="70"/>
      <c r="L71" s="11"/>
      <c r="M71" s="11"/>
      <c r="N71" t="s" s="294">
        <v>111</v>
      </c>
      <c r="O71" s="380">
        <v>40</v>
      </c>
      <c r="P71" s="380">
        <v>32</v>
      </c>
      <c r="Q71" s="397">
        <v>6</v>
      </c>
      <c r="R71" s="11"/>
      <c r="S71" s="11"/>
      <c r="T71" s="11"/>
      <c r="U71" s="399"/>
    </row>
    <row r="72" ht="16" customHeight="1">
      <c r="A72" t="s" s="282">
        <v>116</v>
      </c>
      <c r="B72" s="380">
        <v>84</v>
      </c>
      <c r="C72" s="380">
        <v>80</v>
      </c>
      <c r="D72" s="397">
        <v>11</v>
      </c>
      <c r="E72" s="11"/>
      <c r="F72" s="11"/>
      <c r="G72" t="s" s="294">
        <v>112</v>
      </c>
      <c r="H72" s="380">
        <v>36</v>
      </c>
      <c r="I72" s="380">
        <v>37</v>
      </c>
      <c r="J72" s="397">
        <v>7</v>
      </c>
      <c r="K72" s="70"/>
      <c r="L72" s="11"/>
      <c r="M72" s="11"/>
      <c r="N72" t="s" s="294">
        <v>112</v>
      </c>
      <c r="O72" s="380">
        <v>36</v>
      </c>
      <c r="P72" s="380">
        <v>37</v>
      </c>
      <c r="Q72" s="397">
        <v>7</v>
      </c>
      <c r="R72" s="11"/>
      <c r="S72" s="11"/>
      <c r="T72" s="11"/>
      <c r="U72" s="399"/>
    </row>
    <row r="73" ht="16" customHeight="1">
      <c r="A73" t="s" s="282">
        <v>117</v>
      </c>
      <c r="B73" s="380">
        <v>72</v>
      </c>
      <c r="C73" s="380">
        <v>59</v>
      </c>
      <c r="D73" s="397">
        <v>12</v>
      </c>
      <c r="E73" s="11"/>
      <c r="F73" s="11"/>
      <c r="G73" t="s" s="294">
        <v>113</v>
      </c>
      <c r="H73" s="380">
        <v>36</v>
      </c>
      <c r="I73" s="380">
        <v>26</v>
      </c>
      <c r="J73" s="397">
        <v>8</v>
      </c>
      <c r="K73" s="70"/>
      <c r="L73" s="11"/>
      <c r="M73" s="11"/>
      <c r="N73" t="s" s="294">
        <v>113</v>
      </c>
      <c r="O73" s="380">
        <v>36</v>
      </c>
      <c r="P73" s="380">
        <v>26</v>
      </c>
      <c r="Q73" s="397">
        <v>8</v>
      </c>
      <c r="R73" s="11"/>
      <c r="S73" s="11"/>
      <c r="T73" s="11"/>
      <c r="U73" s="399"/>
    </row>
    <row r="74" ht="16" customHeight="1">
      <c r="A74" t="s" s="282">
        <v>118</v>
      </c>
      <c r="B74" s="380">
        <v>72</v>
      </c>
      <c r="C74" s="380">
        <v>70</v>
      </c>
      <c r="D74" s="397">
        <v>13</v>
      </c>
      <c r="E74" s="11"/>
      <c r="F74" s="11"/>
      <c r="G74" t="s" s="294">
        <v>114</v>
      </c>
      <c r="H74" s="380">
        <v>22</v>
      </c>
      <c r="I74" s="380">
        <v>26</v>
      </c>
      <c r="J74" s="397">
        <v>9</v>
      </c>
      <c r="K74" s="70"/>
      <c r="L74" s="11"/>
      <c r="M74" s="11"/>
      <c r="N74" t="s" s="294">
        <v>114</v>
      </c>
      <c r="O74" s="380">
        <v>24</v>
      </c>
      <c r="P74" s="380">
        <v>28</v>
      </c>
      <c r="Q74" s="397">
        <v>9</v>
      </c>
      <c r="R74" s="11"/>
      <c r="S74" s="11"/>
      <c r="T74" s="11"/>
      <c r="U74" s="399"/>
    </row>
    <row r="75" ht="16" customHeight="1">
      <c r="A75" t="s" s="282">
        <v>119</v>
      </c>
      <c r="B75" s="380">
        <v>86</v>
      </c>
      <c r="C75" s="380">
        <v>99</v>
      </c>
      <c r="D75" s="397">
        <v>14</v>
      </c>
      <c r="E75" s="11"/>
      <c r="F75" s="11"/>
      <c r="G75" t="s" s="294">
        <v>115</v>
      </c>
      <c r="H75" s="380">
        <v>36</v>
      </c>
      <c r="I75" s="380">
        <v>33</v>
      </c>
      <c r="J75" s="397">
        <v>10</v>
      </c>
      <c r="K75" s="70"/>
      <c r="L75" s="11"/>
      <c r="M75" s="11"/>
      <c r="N75" t="s" s="294">
        <v>115</v>
      </c>
      <c r="O75" s="380">
        <v>36</v>
      </c>
      <c r="P75" s="380">
        <v>33</v>
      </c>
      <c r="Q75" s="397">
        <v>10</v>
      </c>
      <c r="R75" s="11"/>
      <c r="S75" s="11"/>
      <c r="T75" s="11"/>
      <c r="U75" s="399"/>
    </row>
    <row r="76" ht="16" customHeight="1">
      <c r="A76" t="s" s="282">
        <v>120</v>
      </c>
      <c r="B76" s="380">
        <v>158</v>
      </c>
      <c r="C76" s="380">
        <v>134</v>
      </c>
      <c r="D76" s="397">
        <v>15</v>
      </c>
      <c r="E76" s="11"/>
      <c r="F76" s="11"/>
      <c r="G76" t="s" s="294">
        <v>116</v>
      </c>
      <c r="H76" s="380">
        <v>32</v>
      </c>
      <c r="I76" s="380">
        <v>49</v>
      </c>
      <c r="J76" s="397">
        <v>11</v>
      </c>
      <c r="K76" s="70"/>
      <c r="L76" s="11"/>
      <c r="M76" s="11"/>
      <c r="N76" t="s" s="294">
        <v>116</v>
      </c>
      <c r="O76" s="380">
        <v>32</v>
      </c>
      <c r="P76" s="380">
        <v>49</v>
      </c>
      <c r="Q76" s="397">
        <v>11</v>
      </c>
      <c r="R76" s="11"/>
      <c r="S76" s="11"/>
      <c r="T76" s="11"/>
      <c r="U76" s="399"/>
    </row>
    <row r="77" ht="16" customHeight="1">
      <c r="A77" t="s" s="282">
        <v>121</v>
      </c>
      <c r="B77" s="380">
        <v>162</v>
      </c>
      <c r="C77" s="380">
        <v>164</v>
      </c>
      <c r="D77" s="397">
        <v>16</v>
      </c>
      <c r="E77" s="11"/>
      <c r="F77" s="11"/>
      <c r="G77" t="s" s="294">
        <v>117</v>
      </c>
      <c r="H77" s="380">
        <v>50</v>
      </c>
      <c r="I77" s="380">
        <v>47</v>
      </c>
      <c r="J77" s="397">
        <v>12</v>
      </c>
      <c r="K77" s="70"/>
      <c r="L77" s="11"/>
      <c r="M77" s="11"/>
      <c r="N77" t="s" s="294">
        <v>117</v>
      </c>
      <c r="O77" s="380">
        <v>50</v>
      </c>
      <c r="P77" s="380">
        <v>48</v>
      </c>
      <c r="Q77" s="397">
        <v>12</v>
      </c>
      <c r="R77" s="11"/>
      <c r="S77" s="11"/>
      <c r="T77" s="11"/>
      <c r="U77" s="399"/>
    </row>
    <row r="78" ht="16" customHeight="1">
      <c r="A78" t="s" s="282">
        <v>228</v>
      </c>
      <c r="B78" s="380">
        <v>192</v>
      </c>
      <c r="C78" s="380">
        <v>190</v>
      </c>
      <c r="D78" s="397">
        <v>17</v>
      </c>
      <c r="E78" s="11"/>
      <c r="F78" s="11"/>
      <c r="G78" t="s" s="294">
        <v>118</v>
      </c>
      <c r="H78" s="380">
        <v>75</v>
      </c>
      <c r="I78" s="380">
        <v>71</v>
      </c>
      <c r="J78" s="397">
        <v>13</v>
      </c>
      <c r="K78" s="70"/>
      <c r="L78" s="11"/>
      <c r="M78" s="11"/>
      <c r="N78" t="s" s="294">
        <v>118</v>
      </c>
      <c r="O78" s="380">
        <v>75</v>
      </c>
      <c r="P78" s="380">
        <v>71</v>
      </c>
      <c r="Q78" s="397">
        <v>13</v>
      </c>
      <c r="R78" s="11"/>
      <c r="S78" s="11"/>
      <c r="T78" s="11"/>
      <c r="U78" s="399"/>
    </row>
    <row r="79" ht="16" customHeight="1">
      <c r="A79" t="s" s="282">
        <v>229</v>
      </c>
      <c r="B79" s="380">
        <v>137</v>
      </c>
      <c r="C79" s="380">
        <v>162</v>
      </c>
      <c r="D79" s="397">
        <v>18</v>
      </c>
      <c r="E79" s="11"/>
      <c r="F79" s="11"/>
      <c r="G79" t="s" s="294">
        <v>119</v>
      </c>
      <c r="H79" s="380">
        <v>68</v>
      </c>
      <c r="I79" s="380">
        <v>49</v>
      </c>
      <c r="J79" s="397">
        <v>14</v>
      </c>
      <c r="K79" s="70"/>
      <c r="L79" s="11"/>
      <c r="M79" s="11"/>
      <c r="N79" t="s" s="294">
        <v>119</v>
      </c>
      <c r="O79" s="380">
        <v>68</v>
      </c>
      <c r="P79" s="380">
        <v>49</v>
      </c>
      <c r="Q79" s="397">
        <v>14</v>
      </c>
      <c r="R79" s="11"/>
      <c r="S79" s="11"/>
      <c r="T79" s="11"/>
      <c r="U79" s="399"/>
    </row>
    <row r="80" ht="16" customHeight="1">
      <c r="A80" t="s" s="282">
        <v>230</v>
      </c>
      <c r="B80" s="380">
        <v>144</v>
      </c>
      <c r="C80" s="380">
        <v>176</v>
      </c>
      <c r="D80" s="397">
        <v>19</v>
      </c>
      <c r="E80" s="11"/>
      <c r="F80" s="11"/>
      <c r="G80" t="s" s="294">
        <v>120</v>
      </c>
      <c r="H80" s="380">
        <v>61</v>
      </c>
      <c r="I80" s="380">
        <v>72</v>
      </c>
      <c r="J80" s="397">
        <v>15</v>
      </c>
      <c r="K80" s="70"/>
      <c r="L80" s="11"/>
      <c r="M80" s="11"/>
      <c r="N80" t="s" s="294">
        <v>120</v>
      </c>
      <c r="O80" s="380">
        <v>61</v>
      </c>
      <c r="P80" s="380">
        <v>72</v>
      </c>
      <c r="Q80" s="397">
        <v>15</v>
      </c>
      <c r="R80" s="11"/>
      <c r="S80" s="11"/>
      <c r="T80" s="11"/>
      <c r="U80" s="399"/>
    </row>
    <row r="81" ht="16" customHeight="1">
      <c r="A81" t="s" s="282">
        <v>231</v>
      </c>
      <c r="B81" s="380">
        <v>119</v>
      </c>
      <c r="C81" s="380">
        <v>173</v>
      </c>
      <c r="D81" s="397">
        <v>20</v>
      </c>
      <c r="E81" s="11"/>
      <c r="F81" s="11"/>
      <c r="G81" t="s" s="294">
        <v>121</v>
      </c>
      <c r="H81" s="380">
        <v>81</v>
      </c>
      <c r="I81" s="380">
        <v>100</v>
      </c>
      <c r="J81" s="397">
        <v>16</v>
      </c>
      <c r="K81" s="70"/>
      <c r="L81" s="11"/>
      <c r="M81" s="11"/>
      <c r="N81" t="s" s="294">
        <v>121</v>
      </c>
      <c r="O81" s="380">
        <v>81</v>
      </c>
      <c r="P81" s="380">
        <v>100</v>
      </c>
      <c r="Q81" s="397">
        <v>16</v>
      </c>
      <c r="R81" s="11"/>
      <c r="S81" s="11"/>
      <c r="T81" s="11"/>
      <c r="U81" s="399"/>
    </row>
    <row r="82" ht="16" customHeight="1">
      <c r="A82" t="s" s="282">
        <v>232</v>
      </c>
      <c r="B82" s="380">
        <v>58</v>
      </c>
      <c r="C82" s="380">
        <v>120</v>
      </c>
      <c r="D82" s="397">
        <v>21</v>
      </c>
      <c r="E82" s="11"/>
      <c r="F82" s="11"/>
      <c r="G82" t="s" s="294">
        <v>228</v>
      </c>
      <c r="H82" s="380">
        <v>150</v>
      </c>
      <c r="I82" s="380">
        <v>130</v>
      </c>
      <c r="J82" s="397">
        <v>17</v>
      </c>
      <c r="K82" s="70"/>
      <c r="L82" s="11"/>
      <c r="M82" s="11"/>
      <c r="N82" t="s" s="294">
        <v>228</v>
      </c>
      <c r="O82" s="380">
        <v>150</v>
      </c>
      <c r="P82" s="380">
        <v>130</v>
      </c>
      <c r="Q82" s="397">
        <v>17</v>
      </c>
      <c r="R82" s="11"/>
      <c r="S82" s="11"/>
      <c r="T82" s="11"/>
      <c r="U82" s="399"/>
    </row>
    <row r="83" ht="16" customHeight="1">
      <c r="A83" t="s" s="282">
        <v>233</v>
      </c>
      <c r="B83" s="380">
        <v>17</v>
      </c>
      <c r="C83" s="380">
        <v>55</v>
      </c>
      <c r="D83" s="397">
        <v>22</v>
      </c>
      <c r="E83" s="11"/>
      <c r="F83" s="11"/>
      <c r="G83" t="s" s="294">
        <v>229</v>
      </c>
      <c r="H83" s="380">
        <v>140</v>
      </c>
      <c r="I83" s="380">
        <v>152</v>
      </c>
      <c r="J83" s="397">
        <v>18</v>
      </c>
      <c r="K83" s="70"/>
      <c r="L83" s="11"/>
      <c r="M83" s="11"/>
      <c r="N83" t="s" s="294">
        <v>229</v>
      </c>
      <c r="O83" s="380">
        <v>140</v>
      </c>
      <c r="P83" s="380">
        <v>152</v>
      </c>
      <c r="Q83" s="397">
        <v>18</v>
      </c>
      <c r="R83" s="11"/>
      <c r="S83" s="11"/>
      <c r="T83" s="11"/>
      <c r="U83" s="399"/>
    </row>
    <row r="84" ht="16" customHeight="1">
      <c r="A84" t="s" s="282">
        <v>234</v>
      </c>
      <c r="B84" s="380">
        <v>2</v>
      </c>
      <c r="C84" s="380">
        <v>7</v>
      </c>
      <c r="D84" s="397">
        <v>23</v>
      </c>
      <c r="E84" s="11"/>
      <c r="F84" s="11"/>
      <c r="G84" t="s" s="294">
        <v>230</v>
      </c>
      <c r="H84" s="380">
        <v>146</v>
      </c>
      <c r="I84" s="380">
        <v>167</v>
      </c>
      <c r="J84" s="397">
        <v>19</v>
      </c>
      <c r="K84" s="70"/>
      <c r="L84" s="11"/>
      <c r="M84" s="11"/>
      <c r="N84" t="s" s="294">
        <v>230</v>
      </c>
      <c r="O84" s="380">
        <v>146</v>
      </c>
      <c r="P84" s="380">
        <v>167</v>
      </c>
      <c r="Q84" s="397">
        <v>19</v>
      </c>
      <c r="R84" s="11"/>
      <c r="S84" s="11"/>
      <c r="T84" s="11"/>
      <c r="U84" s="399"/>
    </row>
    <row r="85" ht="16" customHeight="1">
      <c r="A85" t="s" s="282">
        <v>235</v>
      </c>
      <c r="B85" s="380">
        <v>1</v>
      </c>
      <c r="C85" s="380">
        <v>1</v>
      </c>
      <c r="D85" s="397">
        <v>24</v>
      </c>
      <c r="E85" s="11"/>
      <c r="F85" s="11"/>
      <c r="G85" t="s" s="294">
        <v>231</v>
      </c>
      <c r="H85" s="380">
        <v>95</v>
      </c>
      <c r="I85" s="380">
        <v>121</v>
      </c>
      <c r="J85" s="397">
        <v>20</v>
      </c>
      <c r="K85" s="70"/>
      <c r="L85" s="11"/>
      <c r="M85" s="11"/>
      <c r="N85" t="s" s="294">
        <v>231</v>
      </c>
      <c r="O85" s="380">
        <v>95</v>
      </c>
      <c r="P85" s="380">
        <v>121</v>
      </c>
      <c r="Q85" s="397">
        <v>20</v>
      </c>
      <c r="R85" s="11"/>
      <c r="S85" s="11"/>
      <c r="T85" s="11"/>
      <c r="U85" s="399"/>
    </row>
    <row r="86" ht="16" customHeight="1">
      <c r="A86" s="10"/>
      <c r="B86" s="387"/>
      <c r="C86" s="387"/>
      <c r="D86" s="11"/>
      <c r="E86" s="11"/>
      <c r="F86" s="11"/>
      <c r="G86" t="s" s="294">
        <v>232</v>
      </c>
      <c r="H86" s="380">
        <v>74</v>
      </c>
      <c r="I86" s="380">
        <v>108</v>
      </c>
      <c r="J86" s="397">
        <v>21</v>
      </c>
      <c r="K86" s="70"/>
      <c r="L86" s="11"/>
      <c r="M86" s="11"/>
      <c r="N86" t="s" s="294">
        <v>232</v>
      </c>
      <c r="O86" s="380">
        <v>74</v>
      </c>
      <c r="P86" s="380">
        <v>108</v>
      </c>
      <c r="Q86" s="397">
        <v>21</v>
      </c>
      <c r="R86" s="11"/>
      <c r="S86" s="11"/>
      <c r="T86" s="11"/>
      <c r="U86" s="399"/>
    </row>
    <row r="87" ht="16" customHeight="1">
      <c r="A87" t="s" s="282">
        <v>320</v>
      </c>
      <c r="B87" s="394">
        <v>2020</v>
      </c>
      <c r="C87" s="395"/>
      <c r="D87" t="s" s="245">
        <v>333</v>
      </c>
      <c r="E87" s="11"/>
      <c r="F87" s="11"/>
      <c r="G87" t="s" s="294">
        <v>233</v>
      </c>
      <c r="H87" s="380">
        <v>33</v>
      </c>
      <c r="I87" s="380">
        <v>59</v>
      </c>
      <c r="J87" s="397">
        <v>22</v>
      </c>
      <c r="K87" s="70"/>
      <c r="L87" s="11"/>
      <c r="M87" s="11"/>
      <c r="N87" t="s" s="294">
        <v>233</v>
      </c>
      <c r="O87" s="380">
        <v>33</v>
      </c>
      <c r="P87" s="380">
        <v>59</v>
      </c>
      <c r="Q87" s="397">
        <v>22</v>
      </c>
      <c r="R87" s="11"/>
      <c r="S87" s="11"/>
      <c r="T87" s="11"/>
      <c r="U87" s="399"/>
    </row>
    <row r="88" ht="16" customHeight="1">
      <c r="A88" t="s" s="282">
        <v>334</v>
      </c>
      <c r="B88" t="s" s="396">
        <v>107</v>
      </c>
      <c r="C88" t="s" s="396">
        <v>108</v>
      </c>
      <c r="D88" s="130"/>
      <c r="E88" s="11"/>
      <c r="F88" s="11"/>
      <c r="G88" t="s" s="294">
        <v>234</v>
      </c>
      <c r="H88" s="380">
        <v>6</v>
      </c>
      <c r="I88" s="380">
        <v>12</v>
      </c>
      <c r="J88" s="397">
        <v>23</v>
      </c>
      <c r="K88" s="70"/>
      <c r="L88" s="11"/>
      <c r="M88" s="11"/>
      <c r="N88" t="s" s="294">
        <v>234</v>
      </c>
      <c r="O88" s="380">
        <v>6</v>
      </c>
      <c r="P88" s="380">
        <v>12</v>
      </c>
      <c r="Q88" s="397">
        <v>23</v>
      </c>
      <c r="R88" s="11"/>
      <c r="S88" s="11"/>
      <c r="T88" s="11"/>
      <c r="U88" s="399"/>
    </row>
    <row r="89" ht="16" customHeight="1">
      <c r="A89" t="s" s="282">
        <v>109</v>
      </c>
      <c r="B89" s="380">
        <v>30</v>
      </c>
      <c r="C89" s="380">
        <v>24</v>
      </c>
      <c r="D89" s="397">
        <v>4</v>
      </c>
      <c r="E89" s="11"/>
      <c r="F89" s="11"/>
      <c r="G89" t="s" s="294">
        <v>235</v>
      </c>
      <c r="H89" s="380">
        <v>0</v>
      </c>
      <c r="I89" s="380">
        <v>2</v>
      </c>
      <c r="J89" s="397">
        <v>24</v>
      </c>
      <c r="K89" s="70"/>
      <c r="L89" s="11"/>
      <c r="M89" s="11"/>
      <c r="N89" t="s" s="294">
        <v>235</v>
      </c>
      <c r="O89" s="380">
        <v>0</v>
      </c>
      <c r="P89" s="380">
        <v>2</v>
      </c>
      <c r="Q89" s="397">
        <v>24</v>
      </c>
      <c r="R89" s="11"/>
      <c r="S89" s="11"/>
      <c r="T89" s="11"/>
      <c r="U89" s="399"/>
    </row>
    <row r="90" ht="16" customHeight="1">
      <c r="A90" t="s" s="282">
        <v>110</v>
      </c>
      <c r="B90" s="380">
        <v>38</v>
      </c>
      <c r="C90" s="380">
        <v>35</v>
      </c>
      <c r="D90" s="397">
        <v>5</v>
      </c>
      <c r="E90" s="11"/>
      <c r="F90" s="11"/>
      <c r="G90" s="11"/>
      <c r="H90" s="387"/>
      <c r="I90" s="387"/>
      <c r="J90" s="11"/>
      <c r="K90" s="11"/>
      <c r="L90" s="11"/>
      <c r="M90" s="11"/>
      <c r="N90" s="11"/>
      <c r="O90" s="387"/>
      <c r="P90" s="387"/>
      <c r="Q90" s="11"/>
      <c r="R90" s="11"/>
      <c r="S90" s="11"/>
      <c r="T90" s="11"/>
      <c r="U90" s="12"/>
    </row>
    <row r="91" ht="16" customHeight="1">
      <c r="A91" t="s" s="282">
        <v>111</v>
      </c>
      <c r="B91" s="380">
        <v>43</v>
      </c>
      <c r="C91" s="380">
        <v>44</v>
      </c>
      <c r="D91" s="397">
        <v>6</v>
      </c>
      <c r="E91" s="11"/>
      <c r="F91" s="11"/>
      <c r="G91" t="s" s="294">
        <v>323</v>
      </c>
      <c r="H91" s="394">
        <v>2030</v>
      </c>
      <c r="I91" s="395"/>
      <c r="J91" t="s" s="245">
        <v>333</v>
      </c>
      <c r="K91" s="398"/>
      <c r="L91" s="11"/>
      <c r="M91" s="11"/>
      <c r="N91" s="288"/>
      <c r="O91" s="394">
        <v>2030</v>
      </c>
      <c r="P91" s="395"/>
      <c r="Q91" t="s" s="245">
        <v>333</v>
      </c>
      <c r="R91" s="11"/>
      <c r="S91" s="11"/>
      <c r="T91" s="11"/>
      <c r="U91" s="12"/>
    </row>
    <row r="92" ht="16" customHeight="1">
      <c r="A92" t="s" s="282">
        <v>112</v>
      </c>
      <c r="B92" s="380">
        <v>41</v>
      </c>
      <c r="C92" s="380">
        <v>42</v>
      </c>
      <c r="D92" s="397">
        <v>7</v>
      </c>
      <c r="E92" s="11"/>
      <c r="F92" s="11"/>
      <c r="G92" t="s" s="294">
        <v>334</v>
      </c>
      <c r="H92" t="s" s="396">
        <v>107</v>
      </c>
      <c r="I92" t="s" s="396">
        <v>108</v>
      </c>
      <c r="J92" s="130"/>
      <c r="K92" s="398"/>
      <c r="L92" s="11"/>
      <c r="M92" s="11"/>
      <c r="N92" t="s" s="294">
        <v>334</v>
      </c>
      <c r="O92" t="s" s="396">
        <v>107</v>
      </c>
      <c r="P92" t="s" s="396">
        <v>108</v>
      </c>
      <c r="Q92" s="130"/>
      <c r="R92" s="11"/>
      <c r="S92" s="11"/>
      <c r="T92" s="11"/>
      <c r="U92" s="12"/>
    </row>
    <row r="93" ht="16" customHeight="1">
      <c r="A93" t="s" s="282">
        <v>113</v>
      </c>
      <c r="B93" s="380">
        <v>49</v>
      </c>
      <c r="C93" s="380">
        <v>27</v>
      </c>
      <c r="D93" s="397">
        <v>8</v>
      </c>
      <c r="E93" s="11"/>
      <c r="F93" s="11"/>
      <c r="G93" t="s" s="294">
        <v>109</v>
      </c>
      <c r="H93" s="380">
        <v>17</v>
      </c>
      <c r="I93" s="380">
        <v>14</v>
      </c>
      <c r="J93" s="397">
        <v>4</v>
      </c>
      <c r="K93" s="70"/>
      <c r="L93" s="11"/>
      <c r="M93" s="11"/>
      <c r="N93" t="s" s="294">
        <v>109</v>
      </c>
      <c r="O93" s="380">
        <v>19</v>
      </c>
      <c r="P93" s="380">
        <v>15</v>
      </c>
      <c r="Q93" s="397">
        <v>4</v>
      </c>
      <c r="R93" s="11"/>
      <c r="S93" s="11"/>
      <c r="T93" s="70"/>
      <c r="U93" s="12"/>
    </row>
    <row r="94" ht="16" customHeight="1">
      <c r="A94" t="s" s="282">
        <v>114</v>
      </c>
      <c r="B94" s="380">
        <v>40</v>
      </c>
      <c r="C94" s="380">
        <v>38</v>
      </c>
      <c r="D94" s="397">
        <v>9</v>
      </c>
      <c r="E94" s="11"/>
      <c r="F94" s="11"/>
      <c r="G94" t="s" s="294">
        <v>110</v>
      </c>
      <c r="H94" s="380">
        <v>24</v>
      </c>
      <c r="I94" s="380">
        <v>17</v>
      </c>
      <c r="J94" s="397">
        <v>5</v>
      </c>
      <c r="K94" s="70"/>
      <c r="L94" s="11"/>
      <c r="M94" s="11"/>
      <c r="N94" t="s" s="294">
        <v>110</v>
      </c>
      <c r="O94" s="380">
        <v>25</v>
      </c>
      <c r="P94" s="380">
        <v>17</v>
      </c>
      <c r="Q94" s="397">
        <v>5</v>
      </c>
      <c r="R94" s="11"/>
      <c r="S94" s="11"/>
      <c r="T94" s="70"/>
      <c r="U94" s="12"/>
    </row>
    <row r="95" ht="16" customHeight="1">
      <c r="A95" t="s" s="282">
        <v>115</v>
      </c>
      <c r="B95" s="380">
        <v>33</v>
      </c>
      <c r="C95" s="380">
        <v>54</v>
      </c>
      <c r="D95" s="397">
        <v>10</v>
      </c>
      <c r="E95" s="11"/>
      <c r="F95" s="11"/>
      <c r="G95" t="s" s="294">
        <v>111</v>
      </c>
      <c r="H95" s="380">
        <v>31</v>
      </c>
      <c r="I95" s="380">
        <v>19</v>
      </c>
      <c r="J95" s="397">
        <v>6</v>
      </c>
      <c r="K95" s="70"/>
      <c r="L95" s="11"/>
      <c r="M95" s="11"/>
      <c r="N95" t="s" s="294">
        <v>111</v>
      </c>
      <c r="O95" s="380">
        <v>32</v>
      </c>
      <c r="P95" s="380">
        <v>20</v>
      </c>
      <c r="Q95" s="397">
        <v>6</v>
      </c>
      <c r="R95" s="11"/>
      <c r="S95" s="11"/>
      <c r="T95" s="70"/>
      <c r="U95" s="12"/>
    </row>
    <row r="96" ht="16" customHeight="1">
      <c r="A96" t="s" s="282">
        <v>116</v>
      </c>
      <c r="B96" s="380">
        <v>54</v>
      </c>
      <c r="C96" s="380">
        <v>52</v>
      </c>
      <c r="D96" s="397">
        <v>11</v>
      </c>
      <c r="E96" s="11"/>
      <c r="F96" s="11"/>
      <c r="G96" t="s" s="294">
        <v>112</v>
      </c>
      <c r="H96" s="380">
        <v>32</v>
      </c>
      <c r="I96" s="380">
        <v>26</v>
      </c>
      <c r="J96" s="397">
        <v>7</v>
      </c>
      <c r="K96" s="70"/>
      <c r="L96" s="11"/>
      <c r="M96" s="11"/>
      <c r="N96" t="s" s="294">
        <v>112</v>
      </c>
      <c r="O96" s="380">
        <v>33</v>
      </c>
      <c r="P96" s="380">
        <v>27</v>
      </c>
      <c r="Q96" s="397">
        <v>7</v>
      </c>
      <c r="R96" s="11"/>
      <c r="S96" s="11"/>
      <c r="T96" s="70"/>
      <c r="U96" s="12"/>
    </row>
    <row r="97" ht="16" customHeight="1">
      <c r="A97" t="s" s="282">
        <v>117</v>
      </c>
      <c r="B97" s="380">
        <v>76</v>
      </c>
      <c r="C97" s="380">
        <v>76</v>
      </c>
      <c r="D97" s="397">
        <v>12</v>
      </c>
      <c r="E97" s="11"/>
      <c r="F97" s="11"/>
      <c r="G97" t="s" s="294">
        <v>113</v>
      </c>
      <c r="H97" s="380">
        <v>32</v>
      </c>
      <c r="I97" s="380">
        <v>22</v>
      </c>
      <c r="J97" s="397">
        <v>8</v>
      </c>
      <c r="K97" s="70"/>
      <c r="L97" s="11"/>
      <c r="M97" s="11"/>
      <c r="N97" t="s" s="294">
        <v>113</v>
      </c>
      <c r="O97" s="380">
        <v>32</v>
      </c>
      <c r="P97" s="380">
        <v>22</v>
      </c>
      <c r="Q97" s="397">
        <v>8</v>
      </c>
      <c r="R97" s="11"/>
      <c r="S97" s="11"/>
      <c r="T97" s="70"/>
      <c r="U97" s="12"/>
    </row>
    <row r="98" ht="16" customHeight="1">
      <c r="A98" t="s" s="282">
        <v>118</v>
      </c>
      <c r="B98" s="380">
        <v>70</v>
      </c>
      <c r="C98" s="380">
        <v>50</v>
      </c>
      <c r="D98" s="397">
        <v>13</v>
      </c>
      <c r="E98" s="11"/>
      <c r="F98" s="11"/>
      <c r="G98" t="s" s="294">
        <v>114</v>
      </c>
      <c r="H98" s="380">
        <v>16</v>
      </c>
      <c r="I98" s="380">
        <v>24</v>
      </c>
      <c r="J98" s="397">
        <v>9</v>
      </c>
      <c r="K98" s="70"/>
      <c r="L98" s="11"/>
      <c r="M98" s="11"/>
      <c r="N98" t="s" s="294">
        <v>114</v>
      </c>
      <c r="O98" s="380">
        <v>18</v>
      </c>
      <c r="P98" s="380">
        <v>26</v>
      </c>
      <c r="Q98" s="397">
        <v>9</v>
      </c>
      <c r="R98" s="11"/>
      <c r="S98" s="11"/>
      <c r="T98" s="70"/>
      <c r="U98" s="12"/>
    </row>
    <row r="99" ht="16" customHeight="1">
      <c r="A99" t="s" s="282">
        <v>119</v>
      </c>
      <c r="B99" s="380">
        <v>63</v>
      </c>
      <c r="C99" s="380">
        <v>72</v>
      </c>
      <c r="D99" s="397">
        <v>14</v>
      </c>
      <c r="E99" s="11"/>
      <c r="F99" s="11"/>
      <c r="G99" t="s" s="294">
        <v>115</v>
      </c>
      <c r="H99" s="380">
        <v>20</v>
      </c>
      <c r="I99" s="380">
        <v>22</v>
      </c>
      <c r="J99" s="397">
        <v>10</v>
      </c>
      <c r="K99" s="70"/>
      <c r="L99" s="11"/>
      <c r="M99" s="11"/>
      <c r="N99" t="s" s="294">
        <v>115</v>
      </c>
      <c r="O99" s="380">
        <v>22</v>
      </c>
      <c r="P99" s="380">
        <v>24</v>
      </c>
      <c r="Q99" s="397">
        <v>10</v>
      </c>
      <c r="R99" s="11"/>
      <c r="S99" s="11"/>
      <c r="T99" s="70"/>
      <c r="U99" s="12"/>
    </row>
    <row r="100" ht="16" customHeight="1">
      <c r="A100" t="s" s="282">
        <v>120</v>
      </c>
      <c r="B100" s="380">
        <v>82</v>
      </c>
      <c r="C100" s="380">
        <v>101</v>
      </c>
      <c r="D100" s="397">
        <v>15</v>
      </c>
      <c r="E100" s="11"/>
      <c r="F100" s="11"/>
      <c r="G100" t="s" s="294">
        <v>116</v>
      </c>
      <c r="H100" s="380">
        <v>35</v>
      </c>
      <c r="I100" s="380">
        <v>30</v>
      </c>
      <c r="J100" s="397">
        <v>11</v>
      </c>
      <c r="K100" s="70"/>
      <c r="L100" s="11"/>
      <c r="M100" s="11"/>
      <c r="N100" t="s" s="294">
        <v>116</v>
      </c>
      <c r="O100" s="380">
        <v>35</v>
      </c>
      <c r="P100" s="380">
        <v>30</v>
      </c>
      <c r="Q100" s="397">
        <v>11</v>
      </c>
      <c r="R100" s="11"/>
      <c r="S100" s="11"/>
      <c r="T100" s="70"/>
      <c r="U100" s="12"/>
    </row>
    <row r="101" ht="16" customHeight="1">
      <c r="A101" t="s" s="282">
        <v>121</v>
      </c>
      <c r="B101" s="380">
        <v>160</v>
      </c>
      <c r="C101" s="380">
        <v>133</v>
      </c>
      <c r="D101" s="397">
        <v>16</v>
      </c>
      <c r="E101" s="11"/>
      <c r="F101" s="11"/>
      <c r="G101" t="s" s="294">
        <v>117</v>
      </c>
      <c r="H101" s="380">
        <v>30</v>
      </c>
      <c r="I101" s="380">
        <v>44</v>
      </c>
      <c r="J101" s="397">
        <v>12</v>
      </c>
      <c r="K101" s="70"/>
      <c r="L101" s="11"/>
      <c r="M101" s="11"/>
      <c r="N101" t="s" s="294">
        <v>117</v>
      </c>
      <c r="O101" s="380">
        <v>30</v>
      </c>
      <c r="P101" s="380">
        <v>45</v>
      </c>
      <c r="Q101" s="397">
        <v>12</v>
      </c>
      <c r="R101" s="11"/>
      <c r="S101" s="11"/>
      <c r="T101" s="70"/>
      <c r="U101" s="12"/>
    </row>
    <row r="102" ht="16" customHeight="1">
      <c r="A102" t="s" s="282">
        <v>228</v>
      </c>
      <c r="B102" s="380">
        <v>153</v>
      </c>
      <c r="C102" s="380">
        <v>160</v>
      </c>
      <c r="D102" s="397">
        <v>17</v>
      </c>
      <c r="E102" s="11"/>
      <c r="F102" s="11"/>
      <c r="G102" t="s" s="294">
        <v>118</v>
      </c>
      <c r="H102" s="380">
        <v>49</v>
      </c>
      <c r="I102" s="380">
        <v>44</v>
      </c>
      <c r="J102" s="397">
        <v>13</v>
      </c>
      <c r="K102" s="70"/>
      <c r="L102" s="11"/>
      <c r="M102" s="11"/>
      <c r="N102" t="s" s="294">
        <v>118</v>
      </c>
      <c r="O102" s="380">
        <v>49</v>
      </c>
      <c r="P102" s="380">
        <v>45</v>
      </c>
      <c r="Q102" s="397">
        <v>13</v>
      </c>
      <c r="R102" s="11"/>
      <c r="S102" s="11"/>
      <c r="T102" s="70"/>
      <c r="U102" s="12"/>
    </row>
    <row r="103" ht="16" customHeight="1">
      <c r="A103" t="s" s="282">
        <v>229</v>
      </c>
      <c r="B103" s="380">
        <v>175</v>
      </c>
      <c r="C103" s="380">
        <v>184</v>
      </c>
      <c r="D103" s="397">
        <v>18</v>
      </c>
      <c r="E103" s="11"/>
      <c r="F103" s="11"/>
      <c r="G103" t="s" s="294">
        <v>119</v>
      </c>
      <c r="H103" s="380">
        <v>73</v>
      </c>
      <c r="I103" s="380">
        <v>70</v>
      </c>
      <c r="J103" s="397">
        <v>14</v>
      </c>
      <c r="K103" s="70"/>
      <c r="L103" s="11"/>
      <c r="M103" s="11"/>
      <c r="N103" t="s" s="294">
        <v>119</v>
      </c>
      <c r="O103" s="380">
        <v>73</v>
      </c>
      <c r="P103" s="380">
        <v>70</v>
      </c>
      <c r="Q103" s="397">
        <v>14</v>
      </c>
      <c r="R103" s="11"/>
      <c r="S103" s="11"/>
      <c r="T103" s="70"/>
      <c r="U103" s="12"/>
    </row>
    <row r="104" ht="16" customHeight="1">
      <c r="A104" t="s" s="282">
        <v>230</v>
      </c>
      <c r="B104" s="380">
        <v>119</v>
      </c>
      <c r="C104" s="380">
        <v>148</v>
      </c>
      <c r="D104" s="397">
        <v>19</v>
      </c>
      <c r="E104" s="11"/>
      <c r="F104" s="11"/>
      <c r="G104" t="s" s="294">
        <v>120</v>
      </c>
      <c r="H104" s="380">
        <v>66</v>
      </c>
      <c r="I104" s="380">
        <v>49</v>
      </c>
      <c r="J104" s="397">
        <v>15</v>
      </c>
      <c r="K104" s="70"/>
      <c r="L104" s="11"/>
      <c r="M104" s="11"/>
      <c r="N104" t="s" s="294">
        <v>120</v>
      </c>
      <c r="O104" s="380">
        <v>66</v>
      </c>
      <c r="P104" s="380">
        <v>49</v>
      </c>
      <c r="Q104" s="397">
        <v>15</v>
      </c>
      <c r="R104" s="11"/>
      <c r="S104" s="11"/>
      <c r="T104" s="70"/>
      <c r="U104" s="12"/>
    </row>
    <row r="105" ht="16" customHeight="1">
      <c r="A105" t="s" s="282">
        <v>231</v>
      </c>
      <c r="B105" s="380">
        <v>121</v>
      </c>
      <c r="C105" s="380">
        <v>150</v>
      </c>
      <c r="D105" s="397">
        <v>20</v>
      </c>
      <c r="E105" s="11"/>
      <c r="F105" s="11"/>
      <c r="G105" t="s" s="294">
        <v>121</v>
      </c>
      <c r="H105" s="380">
        <v>61</v>
      </c>
      <c r="I105" s="380">
        <v>71</v>
      </c>
      <c r="J105" s="397">
        <v>16</v>
      </c>
      <c r="K105" s="70"/>
      <c r="L105" s="11"/>
      <c r="M105" s="11"/>
      <c r="N105" t="s" s="294">
        <v>121</v>
      </c>
      <c r="O105" s="380">
        <v>61</v>
      </c>
      <c r="P105" s="380">
        <v>71</v>
      </c>
      <c r="Q105" s="397">
        <v>16</v>
      </c>
      <c r="R105" s="11"/>
      <c r="S105" s="11"/>
      <c r="T105" s="70"/>
      <c r="U105" s="12"/>
    </row>
    <row r="106" ht="16" customHeight="1">
      <c r="A106" t="s" s="282">
        <v>232</v>
      </c>
      <c r="B106" s="380">
        <v>80</v>
      </c>
      <c r="C106" s="380">
        <v>121</v>
      </c>
      <c r="D106" s="397">
        <v>21</v>
      </c>
      <c r="E106" s="11"/>
      <c r="F106" s="11"/>
      <c r="G106" t="s" s="294">
        <v>228</v>
      </c>
      <c r="H106" s="380">
        <v>76</v>
      </c>
      <c r="I106" s="380">
        <v>97</v>
      </c>
      <c r="J106" s="397">
        <v>17</v>
      </c>
      <c r="K106" s="70"/>
      <c r="L106" s="11"/>
      <c r="M106" s="11"/>
      <c r="N106" t="s" s="294">
        <v>228</v>
      </c>
      <c r="O106" s="380">
        <v>76</v>
      </c>
      <c r="P106" s="380">
        <v>97</v>
      </c>
      <c r="Q106" s="397">
        <v>17</v>
      </c>
      <c r="R106" s="11"/>
      <c r="S106" s="11"/>
      <c r="T106" s="70"/>
      <c r="U106" s="12"/>
    </row>
    <row r="107" ht="16" customHeight="1">
      <c r="A107" t="s" s="282">
        <v>233</v>
      </c>
      <c r="B107" s="380">
        <v>29</v>
      </c>
      <c r="C107" s="380">
        <v>55</v>
      </c>
      <c r="D107" s="397">
        <v>22</v>
      </c>
      <c r="E107" s="11"/>
      <c r="F107" s="11"/>
      <c r="G107" t="s" s="294">
        <v>229</v>
      </c>
      <c r="H107" s="380">
        <v>137</v>
      </c>
      <c r="I107" s="380">
        <v>123</v>
      </c>
      <c r="J107" s="397">
        <v>18</v>
      </c>
      <c r="K107" s="70"/>
      <c r="L107" s="11"/>
      <c r="M107" s="11"/>
      <c r="N107" t="s" s="294">
        <v>229</v>
      </c>
      <c r="O107" s="380">
        <v>137</v>
      </c>
      <c r="P107" s="380">
        <v>123</v>
      </c>
      <c r="Q107" s="397">
        <v>18</v>
      </c>
      <c r="R107" s="11"/>
      <c r="S107" s="11"/>
      <c r="T107" s="70"/>
      <c r="U107" s="12"/>
    </row>
    <row r="108" ht="16" customHeight="1">
      <c r="A108" t="s" s="282">
        <v>234</v>
      </c>
      <c r="B108" s="380">
        <v>5</v>
      </c>
      <c r="C108" s="380">
        <v>16</v>
      </c>
      <c r="D108" s="397">
        <v>23</v>
      </c>
      <c r="E108" s="11"/>
      <c r="F108" s="11"/>
      <c r="G108" t="s" s="294">
        <v>230</v>
      </c>
      <c r="H108" s="380">
        <v>116</v>
      </c>
      <c r="I108" s="380">
        <v>138</v>
      </c>
      <c r="J108" s="397">
        <v>19</v>
      </c>
      <c r="K108" s="70"/>
      <c r="L108" s="11"/>
      <c r="M108" s="11"/>
      <c r="N108" t="s" s="294">
        <v>230</v>
      </c>
      <c r="O108" s="380">
        <v>116</v>
      </c>
      <c r="P108" s="380">
        <v>138</v>
      </c>
      <c r="Q108" s="397">
        <v>19</v>
      </c>
      <c r="R108" s="11"/>
      <c r="S108" s="11"/>
      <c r="T108" s="70"/>
      <c r="U108" s="12"/>
    </row>
    <row r="109" ht="16" customHeight="1">
      <c r="A109" t="s" s="282">
        <v>235</v>
      </c>
      <c r="B109" s="380">
        <v>0</v>
      </c>
      <c r="C109" s="380">
        <v>1</v>
      </c>
      <c r="D109" s="397">
        <v>24</v>
      </c>
      <c r="E109" s="11"/>
      <c r="F109" s="11"/>
      <c r="G109" t="s" s="294">
        <v>231</v>
      </c>
      <c r="H109" s="380">
        <v>116</v>
      </c>
      <c r="I109" s="380">
        <v>136</v>
      </c>
      <c r="J109" s="397">
        <v>20</v>
      </c>
      <c r="K109" s="70"/>
      <c r="L109" s="11"/>
      <c r="M109" s="11"/>
      <c r="N109" t="s" s="294">
        <v>231</v>
      </c>
      <c r="O109" s="380">
        <v>116</v>
      </c>
      <c r="P109" s="380">
        <v>136</v>
      </c>
      <c r="Q109" s="397">
        <v>20</v>
      </c>
      <c r="R109" s="11"/>
      <c r="S109" s="11"/>
      <c r="T109" s="70"/>
      <c r="U109" s="12"/>
    </row>
    <row r="110" ht="16" customHeight="1">
      <c r="A110" s="10"/>
      <c r="B110" s="196"/>
      <c r="C110" s="196"/>
      <c r="D110" s="11"/>
      <c r="E110" s="11"/>
      <c r="F110" s="11"/>
      <c r="G110" t="s" s="294">
        <v>232</v>
      </c>
      <c r="H110" s="380">
        <v>59</v>
      </c>
      <c r="I110" s="380">
        <v>87</v>
      </c>
      <c r="J110" s="397">
        <v>21</v>
      </c>
      <c r="K110" s="70"/>
      <c r="L110" s="11"/>
      <c r="M110" s="11"/>
      <c r="N110" t="s" s="294">
        <v>232</v>
      </c>
      <c r="O110" s="380">
        <v>59</v>
      </c>
      <c r="P110" s="380">
        <v>87</v>
      </c>
      <c r="Q110" s="397">
        <v>21</v>
      </c>
      <c r="R110" s="11"/>
      <c r="S110" s="11"/>
      <c r="T110" s="70"/>
      <c r="U110" s="12"/>
    </row>
    <row r="111" ht="16" customHeight="1">
      <c r="A111" s="10"/>
      <c r="B111" s="11"/>
      <c r="C111" s="11"/>
      <c r="D111" s="11"/>
      <c r="E111" s="11"/>
      <c r="F111" s="11"/>
      <c r="G111" t="s" s="294">
        <v>233</v>
      </c>
      <c r="H111" s="380">
        <v>30</v>
      </c>
      <c r="I111" s="380">
        <v>53</v>
      </c>
      <c r="J111" s="397">
        <v>22</v>
      </c>
      <c r="K111" s="70"/>
      <c r="L111" s="11"/>
      <c r="M111" s="11"/>
      <c r="N111" t="s" s="294">
        <v>233</v>
      </c>
      <c r="O111" s="380">
        <v>30</v>
      </c>
      <c r="P111" s="380">
        <v>53</v>
      </c>
      <c r="Q111" s="397">
        <v>22</v>
      </c>
      <c r="R111" s="11"/>
      <c r="S111" s="11"/>
      <c r="T111" s="70"/>
      <c r="U111" s="12"/>
    </row>
    <row r="112" ht="16" customHeight="1">
      <c r="A112" s="10"/>
      <c r="B112" s="11"/>
      <c r="C112" s="11"/>
      <c r="D112" s="11"/>
      <c r="E112" s="11"/>
      <c r="F112" s="11"/>
      <c r="G112" t="s" s="294">
        <v>234</v>
      </c>
      <c r="H112" s="380">
        <v>6</v>
      </c>
      <c r="I112" s="380">
        <v>13</v>
      </c>
      <c r="J112" s="397">
        <v>23</v>
      </c>
      <c r="K112" s="70"/>
      <c r="L112" s="11"/>
      <c r="M112" s="11"/>
      <c r="N112" t="s" s="294">
        <v>234</v>
      </c>
      <c r="O112" s="380">
        <v>6</v>
      </c>
      <c r="P112" s="380">
        <v>13</v>
      </c>
      <c r="Q112" s="397">
        <v>23</v>
      </c>
      <c r="R112" s="11"/>
      <c r="S112" s="11"/>
      <c r="T112" s="70"/>
      <c r="U112" s="12"/>
    </row>
    <row r="113" ht="16" customHeight="1">
      <c r="A113" s="10"/>
      <c r="B113" s="11"/>
      <c r="C113" s="11"/>
      <c r="D113" s="11"/>
      <c r="E113" s="11"/>
      <c r="F113" s="11"/>
      <c r="G113" t="s" s="294">
        <v>235</v>
      </c>
      <c r="H113" s="380">
        <v>0</v>
      </c>
      <c r="I113" s="380">
        <v>1</v>
      </c>
      <c r="J113" s="397">
        <v>24</v>
      </c>
      <c r="K113" s="70"/>
      <c r="L113" s="11"/>
      <c r="M113" s="11"/>
      <c r="N113" t="s" s="294">
        <v>235</v>
      </c>
      <c r="O113" s="380">
        <v>0</v>
      </c>
      <c r="P113" s="380">
        <v>1</v>
      </c>
      <c r="Q113" s="397">
        <v>24</v>
      </c>
      <c r="R113" s="11"/>
      <c r="S113" s="11"/>
      <c r="T113" s="70"/>
      <c r="U113" s="12"/>
    </row>
    <row r="114" ht="16" customHeight="1">
      <c r="A114" s="10"/>
      <c r="B114" s="11"/>
      <c r="C114" s="11"/>
      <c r="D114" s="11"/>
      <c r="E114" s="11"/>
      <c r="F114" s="11"/>
      <c r="G114" s="11"/>
      <c r="H114" s="387"/>
      <c r="I114" s="387"/>
      <c r="J114" s="11"/>
      <c r="K114" s="11"/>
      <c r="L114" s="11"/>
      <c r="M114" s="11"/>
      <c r="N114" s="11"/>
      <c r="O114" s="387"/>
      <c r="P114" s="387"/>
      <c r="Q114" s="11"/>
      <c r="R114" s="11"/>
      <c r="S114" s="11"/>
      <c r="T114" s="11"/>
      <c r="U114" s="12"/>
    </row>
    <row r="115" ht="16" customHeight="1">
      <c r="A115" s="10"/>
      <c r="B115" s="11"/>
      <c r="C115" s="11"/>
      <c r="D115" s="11"/>
      <c r="E115" s="11"/>
      <c r="F115" s="11"/>
      <c r="G115" t="s" s="294">
        <v>325</v>
      </c>
      <c r="H115" s="394">
        <v>2035</v>
      </c>
      <c r="I115" s="395"/>
      <c r="J115" t="s" s="245">
        <v>333</v>
      </c>
      <c r="K115" s="11"/>
      <c r="L115" s="11"/>
      <c r="M115" s="11"/>
      <c r="N115" s="288"/>
      <c r="O115" s="394">
        <v>2035</v>
      </c>
      <c r="P115" s="395"/>
      <c r="Q115" t="s" s="245">
        <v>333</v>
      </c>
      <c r="R115" s="11"/>
      <c r="S115" s="11"/>
      <c r="T115" s="11"/>
      <c r="U115" s="12"/>
    </row>
    <row r="116" ht="16" customHeight="1">
      <c r="A116" s="10"/>
      <c r="B116" s="11"/>
      <c r="C116" s="11"/>
      <c r="D116" s="11"/>
      <c r="E116" s="11"/>
      <c r="F116" s="11"/>
      <c r="G116" t="s" s="294">
        <v>334</v>
      </c>
      <c r="H116" t="s" s="396">
        <v>107</v>
      </c>
      <c r="I116" t="s" s="396">
        <v>108</v>
      </c>
      <c r="J116" s="130"/>
      <c r="K116" s="11"/>
      <c r="L116" s="11"/>
      <c r="M116" s="11"/>
      <c r="N116" t="s" s="294">
        <v>334</v>
      </c>
      <c r="O116" t="s" s="396">
        <v>107</v>
      </c>
      <c r="P116" t="s" s="396">
        <v>108</v>
      </c>
      <c r="Q116" s="130"/>
      <c r="R116" s="11"/>
      <c r="S116" s="11"/>
      <c r="T116" s="11"/>
      <c r="U116" s="12"/>
    </row>
    <row r="117" ht="16" customHeight="1">
      <c r="A117" s="10"/>
      <c r="B117" s="11"/>
      <c r="C117" s="11"/>
      <c r="D117" s="11"/>
      <c r="E117" s="11"/>
      <c r="F117" s="11"/>
      <c r="G117" t="s" s="294">
        <v>109</v>
      </c>
      <c r="H117" s="380">
        <v>14</v>
      </c>
      <c r="I117" s="380">
        <v>11</v>
      </c>
      <c r="J117" s="397">
        <v>4</v>
      </c>
      <c r="K117" s="11"/>
      <c r="L117" s="11"/>
      <c r="M117" s="11"/>
      <c r="N117" t="s" s="294">
        <v>109</v>
      </c>
      <c r="O117" s="380">
        <v>16</v>
      </c>
      <c r="P117" s="380">
        <v>13</v>
      </c>
      <c r="Q117" s="397">
        <v>4</v>
      </c>
      <c r="R117" s="11"/>
      <c r="S117" s="11"/>
      <c r="T117" s="70"/>
      <c r="U117" s="12"/>
    </row>
    <row r="118" ht="16" customHeight="1">
      <c r="A118" s="10"/>
      <c r="B118" s="11"/>
      <c r="C118" s="11"/>
      <c r="D118" s="11"/>
      <c r="E118" s="11"/>
      <c r="F118" s="11"/>
      <c r="G118" t="s" s="294">
        <v>110</v>
      </c>
      <c r="H118" s="380">
        <v>18</v>
      </c>
      <c r="I118" s="380">
        <v>12</v>
      </c>
      <c r="J118" s="397">
        <v>5</v>
      </c>
      <c r="K118" s="11"/>
      <c r="L118" s="11"/>
      <c r="M118" s="11"/>
      <c r="N118" t="s" s="294">
        <v>110</v>
      </c>
      <c r="O118" s="380">
        <v>19</v>
      </c>
      <c r="P118" s="380">
        <v>14</v>
      </c>
      <c r="Q118" s="397">
        <v>5</v>
      </c>
      <c r="R118" s="11"/>
      <c r="S118" s="11"/>
      <c r="T118" s="70"/>
      <c r="U118" s="12"/>
    </row>
    <row r="119" ht="16" customHeight="1">
      <c r="A119" s="10"/>
      <c r="B119" s="11"/>
      <c r="C119" s="11"/>
      <c r="D119" s="11"/>
      <c r="E119" s="11"/>
      <c r="F119" s="11"/>
      <c r="G119" t="s" s="294">
        <v>111</v>
      </c>
      <c r="H119" s="380">
        <v>24</v>
      </c>
      <c r="I119" s="380">
        <v>15</v>
      </c>
      <c r="J119" s="397">
        <v>6</v>
      </c>
      <c r="K119" s="11"/>
      <c r="L119" s="11"/>
      <c r="M119" s="11"/>
      <c r="N119" t="s" s="294">
        <v>111</v>
      </c>
      <c r="O119" s="380">
        <v>26</v>
      </c>
      <c r="P119" s="380">
        <v>17</v>
      </c>
      <c r="Q119" s="397">
        <v>6</v>
      </c>
      <c r="R119" s="11"/>
      <c r="S119" s="11"/>
      <c r="T119" s="70"/>
      <c r="U119" s="12"/>
    </row>
    <row r="120" ht="16" customHeight="1">
      <c r="A120" s="10"/>
      <c r="B120" s="11"/>
      <c r="C120" s="11"/>
      <c r="D120" s="11"/>
      <c r="E120" s="11"/>
      <c r="F120" s="11"/>
      <c r="G120" t="s" s="294">
        <v>112</v>
      </c>
      <c r="H120" s="380">
        <v>26</v>
      </c>
      <c r="I120" s="380">
        <v>16</v>
      </c>
      <c r="J120" s="397">
        <v>7</v>
      </c>
      <c r="K120" s="11"/>
      <c r="L120" s="11"/>
      <c r="M120" s="11"/>
      <c r="N120" t="s" s="294">
        <v>112</v>
      </c>
      <c r="O120" s="380">
        <v>27</v>
      </c>
      <c r="P120" s="380">
        <v>17</v>
      </c>
      <c r="Q120" s="397">
        <v>7</v>
      </c>
      <c r="R120" s="11"/>
      <c r="S120" s="11"/>
      <c r="T120" s="70"/>
      <c r="U120" s="12"/>
    </row>
    <row r="121" ht="16" customHeight="1">
      <c r="A121" s="10"/>
      <c r="B121" s="11"/>
      <c r="C121" s="11"/>
      <c r="D121" s="11"/>
      <c r="E121" s="11"/>
      <c r="F121" s="11"/>
      <c r="G121" t="s" s="294">
        <v>113</v>
      </c>
      <c r="H121" s="380">
        <v>29</v>
      </c>
      <c r="I121" s="380">
        <v>16</v>
      </c>
      <c r="J121" s="397">
        <v>8</v>
      </c>
      <c r="K121" s="11"/>
      <c r="L121" s="11"/>
      <c r="M121" s="11"/>
      <c r="N121" t="s" s="294">
        <v>113</v>
      </c>
      <c r="O121" s="380">
        <v>29</v>
      </c>
      <c r="P121" s="380">
        <v>16</v>
      </c>
      <c r="Q121" s="397">
        <v>8</v>
      </c>
      <c r="R121" s="11"/>
      <c r="S121" s="11"/>
      <c r="T121" s="70"/>
      <c r="U121" s="12"/>
    </row>
    <row r="122" ht="16" customHeight="1">
      <c r="A122" s="10"/>
      <c r="B122" s="11"/>
      <c r="C122" s="11"/>
      <c r="D122" s="11"/>
      <c r="E122" s="11"/>
      <c r="F122" s="11"/>
      <c r="G122" t="s" s="294">
        <v>114</v>
      </c>
      <c r="H122" s="380">
        <v>14</v>
      </c>
      <c r="I122" s="380">
        <v>21</v>
      </c>
      <c r="J122" s="397">
        <v>9</v>
      </c>
      <c r="K122" s="11"/>
      <c r="L122" s="11"/>
      <c r="M122" s="11"/>
      <c r="N122" t="s" s="294">
        <v>114</v>
      </c>
      <c r="O122" s="380">
        <v>16</v>
      </c>
      <c r="P122" s="380">
        <v>23</v>
      </c>
      <c r="Q122" s="397">
        <v>9</v>
      </c>
      <c r="R122" s="11"/>
      <c r="S122" s="11"/>
      <c r="T122" s="70"/>
      <c r="U122" s="12"/>
    </row>
    <row r="123" ht="16" customHeight="1">
      <c r="A123" s="10"/>
      <c r="B123" s="11"/>
      <c r="C123" s="11"/>
      <c r="D123" s="11"/>
      <c r="E123" s="11"/>
      <c r="F123" s="11"/>
      <c r="G123" t="s" s="294">
        <v>115</v>
      </c>
      <c r="H123" s="380">
        <v>15</v>
      </c>
      <c r="I123" s="380">
        <v>21</v>
      </c>
      <c r="J123" s="397">
        <v>10</v>
      </c>
      <c r="K123" s="11"/>
      <c r="L123" s="11"/>
      <c r="M123" s="11"/>
      <c r="N123" t="s" s="294">
        <v>115</v>
      </c>
      <c r="O123" s="380">
        <v>17</v>
      </c>
      <c r="P123" s="380">
        <v>23</v>
      </c>
      <c r="Q123" s="397">
        <v>10</v>
      </c>
      <c r="R123" s="11"/>
      <c r="S123" s="11"/>
      <c r="T123" s="70"/>
      <c r="U123" s="12"/>
    </row>
    <row r="124" ht="16" customHeight="1">
      <c r="A124" s="10"/>
      <c r="B124" s="11"/>
      <c r="C124" s="11"/>
      <c r="D124" s="11"/>
      <c r="E124" s="11"/>
      <c r="F124" s="11"/>
      <c r="G124" t="s" s="294">
        <v>116</v>
      </c>
      <c r="H124" s="380">
        <v>19</v>
      </c>
      <c r="I124" s="380">
        <v>20</v>
      </c>
      <c r="J124" s="397">
        <v>11</v>
      </c>
      <c r="K124" s="11"/>
      <c r="L124" s="11"/>
      <c r="M124" s="11"/>
      <c r="N124" t="s" s="294">
        <v>116</v>
      </c>
      <c r="O124" s="380">
        <v>21</v>
      </c>
      <c r="P124" s="380">
        <v>22</v>
      </c>
      <c r="Q124" s="397">
        <v>11</v>
      </c>
      <c r="R124" s="11"/>
      <c r="S124" s="11"/>
      <c r="T124" s="70"/>
      <c r="U124" s="12"/>
    </row>
    <row r="125" ht="16" customHeight="1">
      <c r="A125" s="10"/>
      <c r="B125" s="11"/>
      <c r="C125" s="11"/>
      <c r="D125" s="11"/>
      <c r="E125" s="11"/>
      <c r="F125" s="11"/>
      <c r="G125" t="s" s="294">
        <v>117</v>
      </c>
      <c r="H125" s="380">
        <v>32</v>
      </c>
      <c r="I125" s="380">
        <v>27</v>
      </c>
      <c r="J125" s="397">
        <v>12</v>
      </c>
      <c r="K125" s="11"/>
      <c r="L125" s="11"/>
      <c r="M125" s="11"/>
      <c r="N125" t="s" s="294">
        <v>117</v>
      </c>
      <c r="O125" s="380">
        <v>32</v>
      </c>
      <c r="P125" s="380">
        <v>28</v>
      </c>
      <c r="Q125" s="397">
        <v>12</v>
      </c>
      <c r="R125" s="11"/>
      <c r="S125" s="11"/>
      <c r="T125" s="70"/>
      <c r="U125" s="12"/>
    </row>
    <row r="126" ht="16" customHeight="1">
      <c r="A126" s="10"/>
      <c r="B126" s="11"/>
      <c r="C126" s="11"/>
      <c r="D126" s="11"/>
      <c r="E126" s="11"/>
      <c r="F126" s="11"/>
      <c r="G126" t="s" s="294">
        <v>118</v>
      </c>
      <c r="H126" s="380">
        <v>29</v>
      </c>
      <c r="I126" s="380">
        <v>41</v>
      </c>
      <c r="J126" s="397">
        <v>13</v>
      </c>
      <c r="K126" s="11"/>
      <c r="L126" s="11"/>
      <c r="M126" s="11"/>
      <c r="N126" t="s" s="294">
        <v>118</v>
      </c>
      <c r="O126" s="380">
        <v>29</v>
      </c>
      <c r="P126" s="380">
        <v>42</v>
      </c>
      <c r="Q126" s="397">
        <v>13</v>
      </c>
      <c r="R126" s="11"/>
      <c r="S126" s="11"/>
      <c r="T126" s="70"/>
      <c r="U126" s="12"/>
    </row>
    <row r="127" ht="16" customHeight="1">
      <c r="A127" s="10"/>
      <c r="B127" s="11"/>
      <c r="C127" s="11"/>
      <c r="D127" s="11"/>
      <c r="E127" s="11"/>
      <c r="F127" s="11"/>
      <c r="G127" t="s" s="294">
        <v>119</v>
      </c>
      <c r="H127" s="380">
        <v>48</v>
      </c>
      <c r="I127" s="380">
        <v>43</v>
      </c>
      <c r="J127" s="397">
        <v>14</v>
      </c>
      <c r="K127" s="11"/>
      <c r="L127" s="11"/>
      <c r="M127" s="11"/>
      <c r="N127" t="s" s="294">
        <v>119</v>
      </c>
      <c r="O127" s="380">
        <v>48</v>
      </c>
      <c r="P127" s="380">
        <v>44</v>
      </c>
      <c r="Q127" s="397">
        <v>14</v>
      </c>
      <c r="R127" s="11"/>
      <c r="S127" s="11"/>
      <c r="T127" s="70"/>
      <c r="U127" s="12"/>
    </row>
    <row r="128" ht="16" customHeight="1">
      <c r="A128" s="10"/>
      <c r="B128" s="11"/>
      <c r="C128" s="11"/>
      <c r="D128" s="11"/>
      <c r="E128" s="11"/>
      <c r="F128" s="11"/>
      <c r="G128" t="s" s="294">
        <v>120</v>
      </c>
      <c r="H128" s="380">
        <v>71</v>
      </c>
      <c r="I128" s="380">
        <v>70</v>
      </c>
      <c r="J128" s="397">
        <v>15</v>
      </c>
      <c r="K128" s="11"/>
      <c r="L128" s="11"/>
      <c r="M128" s="11"/>
      <c r="N128" t="s" s="294">
        <v>120</v>
      </c>
      <c r="O128" s="380">
        <v>71</v>
      </c>
      <c r="P128" s="380">
        <v>70</v>
      </c>
      <c r="Q128" s="397">
        <v>15</v>
      </c>
      <c r="R128" s="11"/>
      <c r="S128" s="11"/>
      <c r="T128" s="70"/>
      <c r="U128" s="12"/>
    </row>
    <row r="129" ht="16" customHeight="1">
      <c r="A129" s="10"/>
      <c r="B129" s="11"/>
      <c r="C129" s="11"/>
      <c r="D129" s="11"/>
      <c r="E129" s="11"/>
      <c r="F129" s="11"/>
      <c r="G129" t="s" s="294">
        <v>121</v>
      </c>
      <c r="H129" s="380">
        <v>65</v>
      </c>
      <c r="I129" s="380">
        <v>49</v>
      </c>
      <c r="J129" s="397">
        <v>16</v>
      </c>
      <c r="K129" s="11"/>
      <c r="L129" s="11"/>
      <c r="M129" s="11"/>
      <c r="N129" t="s" s="294">
        <v>121</v>
      </c>
      <c r="O129" s="380">
        <v>65</v>
      </c>
      <c r="P129" s="380">
        <v>49</v>
      </c>
      <c r="Q129" s="397">
        <v>16</v>
      </c>
      <c r="R129" s="11"/>
      <c r="S129" s="11"/>
      <c r="T129" s="70"/>
      <c r="U129" s="12"/>
    </row>
    <row r="130" ht="16" customHeight="1">
      <c r="A130" s="10"/>
      <c r="B130" s="11"/>
      <c r="C130" s="11"/>
      <c r="D130" s="11"/>
      <c r="E130" s="11"/>
      <c r="F130" s="11"/>
      <c r="G130" t="s" s="294">
        <v>228</v>
      </c>
      <c r="H130" s="380">
        <v>57</v>
      </c>
      <c r="I130" s="380">
        <v>70</v>
      </c>
      <c r="J130" s="397">
        <v>17</v>
      </c>
      <c r="K130" s="11"/>
      <c r="L130" s="11"/>
      <c r="M130" s="11"/>
      <c r="N130" t="s" s="294">
        <v>228</v>
      </c>
      <c r="O130" s="380">
        <v>57</v>
      </c>
      <c r="P130" s="380">
        <v>70</v>
      </c>
      <c r="Q130" s="397">
        <v>17</v>
      </c>
      <c r="R130" s="11"/>
      <c r="S130" s="11"/>
      <c r="T130" s="70"/>
      <c r="U130" s="12"/>
    </row>
    <row r="131" ht="16" customHeight="1">
      <c r="A131" s="10"/>
      <c r="B131" s="11"/>
      <c r="C131" s="11"/>
      <c r="D131" s="11"/>
      <c r="E131" s="11"/>
      <c r="F131" s="11"/>
      <c r="G131" t="s" s="294">
        <v>229</v>
      </c>
      <c r="H131" s="380">
        <v>69</v>
      </c>
      <c r="I131" s="380">
        <v>93</v>
      </c>
      <c r="J131" s="397">
        <v>18</v>
      </c>
      <c r="K131" s="11"/>
      <c r="L131" s="11"/>
      <c r="M131" s="11"/>
      <c r="N131" t="s" s="294">
        <v>229</v>
      </c>
      <c r="O131" s="380">
        <v>69</v>
      </c>
      <c r="P131" s="380">
        <v>93</v>
      </c>
      <c r="Q131" s="397">
        <v>18</v>
      </c>
      <c r="R131" s="11"/>
      <c r="S131" s="11"/>
      <c r="T131" s="70"/>
      <c r="U131" s="12"/>
    </row>
    <row r="132" ht="16" customHeight="1">
      <c r="A132" s="10"/>
      <c r="B132" s="11"/>
      <c r="C132" s="11"/>
      <c r="D132" s="11"/>
      <c r="E132" s="11"/>
      <c r="F132" s="11"/>
      <c r="G132" t="s" s="294">
        <v>230</v>
      </c>
      <c r="H132" s="380">
        <v>114</v>
      </c>
      <c r="I132" s="380">
        <v>112</v>
      </c>
      <c r="J132" s="397">
        <v>19</v>
      </c>
      <c r="K132" s="11"/>
      <c r="L132" s="11"/>
      <c r="M132" s="11"/>
      <c r="N132" t="s" s="294">
        <v>230</v>
      </c>
      <c r="O132" s="380">
        <v>114</v>
      </c>
      <c r="P132" s="380">
        <v>112</v>
      </c>
      <c r="Q132" s="397">
        <v>19</v>
      </c>
      <c r="R132" s="11"/>
      <c r="S132" s="11"/>
      <c r="T132" s="70"/>
      <c r="U132" s="12"/>
    </row>
    <row r="133" ht="16" customHeight="1">
      <c r="A133" s="10"/>
      <c r="B133" s="11"/>
      <c r="C133" s="11"/>
      <c r="D133" s="11"/>
      <c r="E133" s="11"/>
      <c r="F133" s="11"/>
      <c r="G133" t="s" s="294">
        <v>231</v>
      </c>
      <c r="H133" s="380">
        <v>93</v>
      </c>
      <c r="I133" s="380">
        <v>112</v>
      </c>
      <c r="J133" s="397">
        <v>20</v>
      </c>
      <c r="K133" s="11"/>
      <c r="L133" s="11"/>
      <c r="M133" s="11"/>
      <c r="N133" t="s" s="294">
        <v>231</v>
      </c>
      <c r="O133" s="380">
        <v>93</v>
      </c>
      <c r="P133" s="380">
        <v>112</v>
      </c>
      <c r="Q133" s="397">
        <v>20</v>
      </c>
      <c r="R133" s="11"/>
      <c r="S133" s="11"/>
      <c r="T133" s="70"/>
      <c r="U133" s="12"/>
    </row>
    <row r="134" ht="16" customHeight="1">
      <c r="A134" s="10"/>
      <c r="B134" s="11"/>
      <c r="C134" s="11"/>
      <c r="D134" s="11"/>
      <c r="E134" s="11"/>
      <c r="F134" s="11"/>
      <c r="G134" t="s" s="294">
        <v>232</v>
      </c>
      <c r="H134" s="380">
        <v>71</v>
      </c>
      <c r="I134" s="380">
        <v>98</v>
      </c>
      <c r="J134" s="397">
        <v>21</v>
      </c>
      <c r="K134" s="11"/>
      <c r="L134" s="11"/>
      <c r="M134" s="11"/>
      <c r="N134" t="s" s="294">
        <v>232</v>
      </c>
      <c r="O134" s="380">
        <v>71</v>
      </c>
      <c r="P134" s="380">
        <v>98</v>
      </c>
      <c r="Q134" s="397">
        <v>21</v>
      </c>
      <c r="R134" s="11"/>
      <c r="S134" s="11"/>
      <c r="T134" s="70"/>
      <c r="U134" s="12"/>
    </row>
    <row r="135" ht="16" customHeight="1">
      <c r="A135" s="10"/>
      <c r="B135" s="11"/>
      <c r="C135" s="11"/>
      <c r="D135" s="11"/>
      <c r="E135" s="11"/>
      <c r="F135" s="11"/>
      <c r="G135" t="s" s="294">
        <v>233</v>
      </c>
      <c r="H135" s="380">
        <v>24</v>
      </c>
      <c r="I135" s="380">
        <v>42</v>
      </c>
      <c r="J135" s="397">
        <v>22</v>
      </c>
      <c r="K135" s="11"/>
      <c r="L135" s="11"/>
      <c r="M135" s="11"/>
      <c r="N135" t="s" s="294">
        <v>233</v>
      </c>
      <c r="O135" s="380">
        <v>24</v>
      </c>
      <c r="P135" s="380">
        <v>42</v>
      </c>
      <c r="Q135" s="397">
        <v>22</v>
      </c>
      <c r="R135" s="11"/>
      <c r="S135" s="11"/>
      <c r="T135" s="70"/>
      <c r="U135" s="12"/>
    </row>
    <row r="136" ht="16" customHeight="1">
      <c r="A136" s="10"/>
      <c r="B136" s="11"/>
      <c r="C136" s="11"/>
      <c r="D136" s="11"/>
      <c r="E136" s="11"/>
      <c r="F136" s="11"/>
      <c r="G136" t="s" s="294">
        <v>234</v>
      </c>
      <c r="H136" s="380">
        <v>6</v>
      </c>
      <c r="I136" s="380">
        <v>11</v>
      </c>
      <c r="J136" s="397">
        <v>23</v>
      </c>
      <c r="K136" s="11"/>
      <c r="L136" s="11"/>
      <c r="M136" s="11"/>
      <c r="N136" t="s" s="294">
        <v>234</v>
      </c>
      <c r="O136" s="380">
        <v>6</v>
      </c>
      <c r="P136" s="380">
        <v>11</v>
      </c>
      <c r="Q136" s="397">
        <v>23</v>
      </c>
      <c r="R136" s="11"/>
      <c r="S136" s="11"/>
      <c r="T136" s="70"/>
      <c r="U136" s="12"/>
    </row>
    <row r="137" ht="16" customHeight="1">
      <c r="A137" s="10"/>
      <c r="B137" s="11"/>
      <c r="C137" s="11"/>
      <c r="D137" s="11"/>
      <c r="E137" s="11"/>
      <c r="F137" s="11"/>
      <c r="G137" t="s" s="294">
        <v>235</v>
      </c>
      <c r="H137" s="380">
        <v>0</v>
      </c>
      <c r="I137" s="380">
        <v>1</v>
      </c>
      <c r="J137" s="397">
        <v>24</v>
      </c>
      <c r="K137" s="11"/>
      <c r="L137" s="11"/>
      <c r="M137" s="11"/>
      <c r="N137" t="s" s="294">
        <v>235</v>
      </c>
      <c r="O137" s="380">
        <v>0</v>
      </c>
      <c r="P137" s="380">
        <v>1</v>
      </c>
      <c r="Q137" s="397">
        <v>24</v>
      </c>
      <c r="R137" s="11"/>
      <c r="S137" s="11"/>
      <c r="T137" s="70"/>
      <c r="U137" s="12"/>
    </row>
    <row r="138" ht="16" customHeight="1">
      <c r="A138" s="10"/>
      <c r="B138" s="11"/>
      <c r="C138" s="11"/>
      <c r="D138" s="11"/>
      <c r="E138" s="11"/>
      <c r="F138" s="11"/>
      <c r="G138" s="11"/>
      <c r="H138" s="387"/>
      <c r="I138" s="387"/>
      <c r="J138" s="11"/>
      <c r="K138" s="11"/>
      <c r="L138" s="11"/>
      <c r="M138" s="11"/>
      <c r="N138" s="11"/>
      <c r="O138" s="387"/>
      <c r="P138" s="387"/>
      <c r="Q138" s="11"/>
      <c r="R138" s="11"/>
      <c r="S138" s="11"/>
      <c r="T138" s="11"/>
      <c r="U138" s="12"/>
    </row>
    <row r="139" ht="16" customHeight="1">
      <c r="A139" s="10"/>
      <c r="B139" s="11"/>
      <c r="C139" s="11"/>
      <c r="D139" s="11"/>
      <c r="E139" s="11"/>
      <c r="F139" s="11"/>
      <c r="G139" t="s" s="294">
        <v>326</v>
      </c>
      <c r="H139" s="394">
        <v>2040</v>
      </c>
      <c r="I139" s="395"/>
      <c r="J139" t="s" s="245">
        <v>333</v>
      </c>
      <c r="K139" s="11"/>
      <c r="L139" s="11"/>
      <c r="M139" s="11"/>
      <c r="N139" s="288"/>
      <c r="O139" s="394">
        <v>2040</v>
      </c>
      <c r="P139" s="395"/>
      <c r="Q139" t="s" s="245">
        <v>333</v>
      </c>
      <c r="R139" s="11"/>
      <c r="S139" s="11"/>
      <c r="T139" s="11"/>
      <c r="U139" s="12"/>
    </row>
    <row r="140" ht="16" customHeight="1">
      <c r="A140" s="10"/>
      <c r="B140" s="11"/>
      <c r="C140" s="11"/>
      <c r="D140" s="11"/>
      <c r="E140" s="11"/>
      <c r="F140" s="11"/>
      <c r="G140" t="s" s="294">
        <v>334</v>
      </c>
      <c r="H140" t="s" s="396">
        <v>107</v>
      </c>
      <c r="I140" t="s" s="396">
        <v>108</v>
      </c>
      <c r="J140" s="130"/>
      <c r="K140" s="11"/>
      <c r="L140" s="11"/>
      <c r="M140" s="11"/>
      <c r="N140" t="s" s="294">
        <v>334</v>
      </c>
      <c r="O140" t="s" s="396">
        <v>107</v>
      </c>
      <c r="P140" t="s" s="396">
        <v>108</v>
      </c>
      <c r="Q140" s="130"/>
      <c r="R140" s="11"/>
      <c r="S140" s="11"/>
      <c r="T140" s="11"/>
      <c r="U140" s="12"/>
    </row>
    <row r="141" ht="16" customHeight="1">
      <c r="A141" s="10"/>
      <c r="B141" s="11"/>
      <c r="C141" s="11"/>
      <c r="D141" s="11"/>
      <c r="E141" s="11"/>
      <c r="F141" s="11"/>
      <c r="G141" t="s" s="294">
        <v>109</v>
      </c>
      <c r="H141" s="380">
        <v>11</v>
      </c>
      <c r="I141" s="380">
        <v>9</v>
      </c>
      <c r="J141" s="397">
        <v>4</v>
      </c>
      <c r="K141" s="11"/>
      <c r="L141" s="11"/>
      <c r="M141" s="11"/>
      <c r="N141" t="s" s="294">
        <v>109</v>
      </c>
      <c r="O141" s="380">
        <v>13</v>
      </c>
      <c r="P141" s="380">
        <v>11</v>
      </c>
      <c r="Q141" s="397">
        <v>4</v>
      </c>
      <c r="R141" s="11"/>
      <c r="S141" s="11"/>
      <c r="T141" s="11"/>
      <c r="U141" s="12"/>
    </row>
    <row r="142" ht="16" customHeight="1">
      <c r="A142" s="10"/>
      <c r="B142" s="11"/>
      <c r="C142" s="11"/>
      <c r="D142" s="11"/>
      <c r="E142" s="11"/>
      <c r="F142" s="11"/>
      <c r="G142" t="s" s="294">
        <v>110</v>
      </c>
      <c r="H142" s="380">
        <v>14</v>
      </c>
      <c r="I142" s="380">
        <v>10</v>
      </c>
      <c r="J142" s="397">
        <v>5</v>
      </c>
      <c r="K142" s="11"/>
      <c r="L142" s="11"/>
      <c r="M142" s="11"/>
      <c r="N142" t="s" s="294">
        <v>110</v>
      </c>
      <c r="O142" s="380">
        <v>16</v>
      </c>
      <c r="P142" s="380">
        <v>11</v>
      </c>
      <c r="Q142" s="397">
        <v>5</v>
      </c>
      <c r="R142" s="11"/>
      <c r="S142" s="11"/>
      <c r="T142" s="11"/>
      <c r="U142" s="12"/>
    </row>
    <row r="143" ht="16" customHeight="1">
      <c r="A143" s="10"/>
      <c r="B143" s="11"/>
      <c r="C143" s="11"/>
      <c r="D143" s="11"/>
      <c r="E143" s="11"/>
      <c r="F143" s="11"/>
      <c r="G143" t="s" s="294">
        <v>111</v>
      </c>
      <c r="H143" s="380">
        <v>18</v>
      </c>
      <c r="I143" s="380">
        <v>11</v>
      </c>
      <c r="J143" s="397">
        <v>6</v>
      </c>
      <c r="K143" s="11"/>
      <c r="L143" s="11"/>
      <c r="M143" s="11"/>
      <c r="N143" t="s" s="294">
        <v>111</v>
      </c>
      <c r="O143" s="380">
        <v>21</v>
      </c>
      <c r="P143" s="380">
        <v>13</v>
      </c>
      <c r="Q143" s="397">
        <v>6</v>
      </c>
      <c r="R143" s="11"/>
      <c r="S143" s="11"/>
      <c r="T143" s="11"/>
      <c r="U143" s="12"/>
    </row>
    <row r="144" ht="16" customHeight="1">
      <c r="A144" s="10"/>
      <c r="B144" s="11"/>
      <c r="C144" s="11"/>
      <c r="D144" s="11"/>
      <c r="E144" s="11"/>
      <c r="F144" s="11"/>
      <c r="G144" t="s" s="294">
        <v>112</v>
      </c>
      <c r="H144" s="380">
        <v>20</v>
      </c>
      <c r="I144" s="380">
        <v>12</v>
      </c>
      <c r="J144" s="397">
        <v>7</v>
      </c>
      <c r="K144" s="11"/>
      <c r="L144" s="11"/>
      <c r="M144" s="11"/>
      <c r="N144" t="s" s="294">
        <v>112</v>
      </c>
      <c r="O144" s="380">
        <v>22</v>
      </c>
      <c r="P144" s="380">
        <v>14</v>
      </c>
      <c r="Q144" s="397">
        <v>7</v>
      </c>
      <c r="R144" s="11"/>
      <c r="S144" s="11"/>
      <c r="T144" s="11"/>
      <c r="U144" s="12"/>
    </row>
    <row r="145" ht="16" customHeight="1">
      <c r="A145" s="10"/>
      <c r="B145" s="11"/>
      <c r="C145" s="11"/>
      <c r="D145" s="11"/>
      <c r="E145" s="11"/>
      <c r="F145" s="11"/>
      <c r="G145" t="s" s="294">
        <v>113</v>
      </c>
      <c r="H145" s="380">
        <v>23</v>
      </c>
      <c r="I145" s="380">
        <v>10</v>
      </c>
      <c r="J145" s="397">
        <v>8</v>
      </c>
      <c r="K145" s="11"/>
      <c r="L145" s="11"/>
      <c r="M145" s="11"/>
      <c r="N145" t="s" s="294">
        <v>113</v>
      </c>
      <c r="O145" s="380">
        <v>24</v>
      </c>
      <c r="P145" s="380">
        <v>10</v>
      </c>
      <c r="Q145" s="397">
        <v>8</v>
      </c>
      <c r="R145" s="11"/>
      <c r="S145" s="11"/>
      <c r="T145" s="11"/>
      <c r="U145" s="12"/>
    </row>
    <row r="146" ht="16" customHeight="1">
      <c r="A146" s="10"/>
      <c r="B146" s="11"/>
      <c r="C146" s="11"/>
      <c r="D146" s="11"/>
      <c r="E146" s="11"/>
      <c r="F146" s="11"/>
      <c r="G146" t="s" s="294">
        <v>114</v>
      </c>
      <c r="H146" s="380">
        <v>13</v>
      </c>
      <c r="I146" s="380">
        <v>15</v>
      </c>
      <c r="J146" s="397">
        <v>9</v>
      </c>
      <c r="K146" s="11"/>
      <c r="L146" s="11"/>
      <c r="M146" s="11"/>
      <c r="N146" t="s" s="294">
        <v>114</v>
      </c>
      <c r="O146" s="380">
        <v>15</v>
      </c>
      <c r="P146" s="380">
        <v>18</v>
      </c>
      <c r="Q146" s="397">
        <v>9</v>
      </c>
      <c r="R146" s="11"/>
      <c r="S146" s="11"/>
      <c r="T146" s="11"/>
      <c r="U146" s="12"/>
    </row>
    <row r="147" ht="16" customHeight="1">
      <c r="A147" s="10"/>
      <c r="B147" s="11"/>
      <c r="C147" s="11"/>
      <c r="D147" s="11"/>
      <c r="E147" s="11"/>
      <c r="F147" s="11"/>
      <c r="G147" t="s" s="294">
        <v>115</v>
      </c>
      <c r="H147" s="380">
        <v>13</v>
      </c>
      <c r="I147" s="380">
        <v>19</v>
      </c>
      <c r="J147" s="397">
        <v>10</v>
      </c>
      <c r="K147" s="11"/>
      <c r="L147" s="11"/>
      <c r="M147" s="11"/>
      <c r="N147" t="s" s="294">
        <v>115</v>
      </c>
      <c r="O147" s="380">
        <v>15</v>
      </c>
      <c r="P147" s="380">
        <v>20</v>
      </c>
      <c r="Q147" s="397">
        <v>10</v>
      </c>
      <c r="R147" s="11"/>
      <c r="S147" s="11"/>
      <c r="T147" s="11"/>
      <c r="U147" s="12"/>
    </row>
    <row r="148" ht="16" customHeight="1">
      <c r="A148" s="10"/>
      <c r="B148" s="11"/>
      <c r="C148" s="11"/>
      <c r="D148" s="11"/>
      <c r="E148" s="11"/>
      <c r="F148" s="11"/>
      <c r="G148" t="s" s="294">
        <v>116</v>
      </c>
      <c r="H148" s="380">
        <v>14</v>
      </c>
      <c r="I148" s="380">
        <v>19</v>
      </c>
      <c r="J148" s="397">
        <v>11</v>
      </c>
      <c r="K148" s="11"/>
      <c r="L148" s="11"/>
      <c r="M148" s="11"/>
      <c r="N148" t="s" s="294">
        <v>116</v>
      </c>
      <c r="O148" s="380">
        <v>16</v>
      </c>
      <c r="P148" s="380">
        <v>21</v>
      </c>
      <c r="Q148" s="397">
        <v>11</v>
      </c>
      <c r="R148" s="11"/>
      <c r="S148" s="11"/>
      <c r="T148" s="11"/>
      <c r="U148" s="12"/>
    </row>
    <row r="149" ht="16" customHeight="1">
      <c r="A149" s="10"/>
      <c r="B149" s="11"/>
      <c r="C149" s="11"/>
      <c r="D149" s="11"/>
      <c r="E149" s="11"/>
      <c r="F149" s="11"/>
      <c r="G149" t="s" s="294">
        <v>117</v>
      </c>
      <c r="H149" s="380">
        <v>18</v>
      </c>
      <c r="I149" s="380">
        <v>18</v>
      </c>
      <c r="J149" s="397">
        <v>12</v>
      </c>
      <c r="K149" s="11"/>
      <c r="L149" s="11"/>
      <c r="M149" s="11"/>
      <c r="N149" t="s" s="294">
        <v>117</v>
      </c>
      <c r="O149" s="380">
        <v>19</v>
      </c>
      <c r="P149" s="380">
        <v>21</v>
      </c>
      <c r="Q149" s="397">
        <v>12</v>
      </c>
      <c r="R149" s="11"/>
      <c r="S149" s="11"/>
      <c r="T149" s="11"/>
      <c r="U149" s="12"/>
    </row>
    <row r="150" ht="16" customHeight="1">
      <c r="A150" s="10"/>
      <c r="B150" s="11"/>
      <c r="C150" s="11"/>
      <c r="D150" s="11"/>
      <c r="E150" s="11"/>
      <c r="F150" s="11"/>
      <c r="G150" t="s" s="294">
        <v>118</v>
      </c>
      <c r="H150" s="380">
        <v>32</v>
      </c>
      <c r="I150" s="380">
        <v>25</v>
      </c>
      <c r="J150" s="397">
        <v>13</v>
      </c>
      <c r="K150" s="11"/>
      <c r="L150" s="11"/>
      <c r="M150" s="11"/>
      <c r="N150" t="s" s="294">
        <v>118</v>
      </c>
      <c r="O150" s="380">
        <v>32</v>
      </c>
      <c r="P150" s="380">
        <v>26</v>
      </c>
      <c r="Q150" s="397">
        <v>13</v>
      </c>
      <c r="R150" s="11"/>
      <c r="S150" s="11"/>
      <c r="T150" s="11"/>
      <c r="U150" s="12"/>
    </row>
    <row r="151" ht="16" customHeight="1">
      <c r="A151" s="10"/>
      <c r="B151" s="11"/>
      <c r="C151" s="11"/>
      <c r="D151" s="11"/>
      <c r="E151" s="11"/>
      <c r="F151" s="11"/>
      <c r="G151" t="s" s="294">
        <v>119</v>
      </c>
      <c r="H151" s="380">
        <v>29</v>
      </c>
      <c r="I151" s="380">
        <v>41</v>
      </c>
      <c r="J151" s="397">
        <v>14</v>
      </c>
      <c r="K151" s="11"/>
      <c r="L151" s="11"/>
      <c r="M151" s="11"/>
      <c r="N151" t="s" s="294">
        <v>119</v>
      </c>
      <c r="O151" s="380">
        <v>29</v>
      </c>
      <c r="P151" s="380">
        <v>42</v>
      </c>
      <c r="Q151" s="397">
        <v>14</v>
      </c>
      <c r="R151" s="11"/>
      <c r="S151" s="11"/>
      <c r="T151" s="11"/>
      <c r="U151" s="12"/>
    </row>
    <row r="152" ht="16" customHeight="1">
      <c r="A152" s="10"/>
      <c r="B152" s="11"/>
      <c r="C152" s="11"/>
      <c r="D152" s="11"/>
      <c r="E152" s="11"/>
      <c r="F152" s="11"/>
      <c r="G152" t="s" s="294">
        <v>120</v>
      </c>
      <c r="H152" s="380">
        <v>46</v>
      </c>
      <c r="I152" s="380">
        <v>44</v>
      </c>
      <c r="J152" s="397">
        <v>15</v>
      </c>
      <c r="K152" s="11"/>
      <c r="L152" s="11"/>
      <c r="M152" s="11"/>
      <c r="N152" t="s" s="294">
        <v>120</v>
      </c>
      <c r="O152" s="380">
        <v>46</v>
      </c>
      <c r="P152" s="380">
        <v>44</v>
      </c>
      <c r="Q152" s="397">
        <v>15</v>
      </c>
      <c r="R152" s="11"/>
      <c r="S152" s="11"/>
      <c r="T152" s="11"/>
      <c r="U152" s="12"/>
    </row>
    <row r="153" ht="16" customHeight="1">
      <c r="A153" s="10"/>
      <c r="B153" s="11"/>
      <c r="C153" s="11"/>
      <c r="D153" s="11"/>
      <c r="E153" s="11"/>
      <c r="F153" s="11"/>
      <c r="G153" t="s" s="294">
        <v>121</v>
      </c>
      <c r="H153" s="380">
        <v>70</v>
      </c>
      <c r="I153" s="380">
        <v>69</v>
      </c>
      <c r="J153" s="397">
        <v>16</v>
      </c>
      <c r="K153" s="11"/>
      <c r="L153" s="11"/>
      <c r="M153" s="11"/>
      <c r="N153" t="s" s="294">
        <v>121</v>
      </c>
      <c r="O153" s="380">
        <v>70</v>
      </c>
      <c r="P153" s="380">
        <v>69</v>
      </c>
      <c r="Q153" s="397">
        <v>16</v>
      </c>
      <c r="R153" s="11"/>
      <c r="S153" s="11"/>
      <c r="T153" s="11"/>
      <c r="U153" s="12"/>
    </row>
    <row r="154" ht="16" customHeight="1">
      <c r="A154" s="10"/>
      <c r="B154" s="11"/>
      <c r="C154" s="11"/>
      <c r="D154" s="11"/>
      <c r="E154" s="11"/>
      <c r="F154" s="11"/>
      <c r="G154" t="s" s="294">
        <v>228</v>
      </c>
      <c r="H154" s="380">
        <v>61</v>
      </c>
      <c r="I154" s="380">
        <v>48</v>
      </c>
      <c r="J154" s="397">
        <v>17</v>
      </c>
      <c r="K154" s="11"/>
      <c r="L154" s="11"/>
      <c r="M154" s="11"/>
      <c r="N154" t="s" s="294">
        <v>228</v>
      </c>
      <c r="O154" s="380">
        <v>61</v>
      </c>
      <c r="P154" s="380">
        <v>48</v>
      </c>
      <c r="Q154" s="397">
        <v>17</v>
      </c>
      <c r="R154" s="11"/>
      <c r="S154" s="11"/>
      <c r="T154" s="11"/>
      <c r="U154" s="12"/>
    </row>
    <row r="155" ht="16" customHeight="1">
      <c r="A155" s="10"/>
      <c r="B155" s="11"/>
      <c r="C155" s="11"/>
      <c r="D155" s="11"/>
      <c r="E155" s="11"/>
      <c r="F155" s="11"/>
      <c r="G155" t="s" s="294">
        <v>229</v>
      </c>
      <c r="H155" s="380">
        <v>52</v>
      </c>
      <c r="I155" s="380">
        <v>66</v>
      </c>
      <c r="J155" s="397">
        <v>18</v>
      </c>
      <c r="K155" s="11"/>
      <c r="L155" s="11"/>
      <c r="M155" s="11"/>
      <c r="N155" t="s" s="294">
        <v>229</v>
      </c>
      <c r="O155" s="380">
        <v>52</v>
      </c>
      <c r="P155" s="380">
        <v>66</v>
      </c>
      <c r="Q155" s="397">
        <v>18</v>
      </c>
      <c r="R155" s="11"/>
      <c r="S155" s="11"/>
      <c r="T155" s="11"/>
      <c r="U155" s="12"/>
    </row>
    <row r="156" ht="16" customHeight="1">
      <c r="A156" s="10"/>
      <c r="B156" s="11"/>
      <c r="C156" s="11"/>
      <c r="D156" s="11"/>
      <c r="E156" s="11"/>
      <c r="F156" s="11"/>
      <c r="G156" t="s" s="294">
        <v>230</v>
      </c>
      <c r="H156" s="380">
        <v>58</v>
      </c>
      <c r="I156" s="380">
        <v>84</v>
      </c>
      <c r="J156" s="397">
        <v>19</v>
      </c>
      <c r="K156" s="11"/>
      <c r="L156" s="11"/>
      <c r="M156" s="11"/>
      <c r="N156" t="s" s="294">
        <v>230</v>
      </c>
      <c r="O156" s="380">
        <v>58</v>
      </c>
      <c r="P156" s="380">
        <v>84</v>
      </c>
      <c r="Q156" s="397">
        <v>19</v>
      </c>
      <c r="R156" s="11"/>
      <c r="S156" s="11"/>
      <c r="T156" s="11"/>
      <c r="U156" s="12"/>
    </row>
    <row r="157" ht="16" customHeight="1">
      <c r="A157" s="10"/>
      <c r="B157" s="11"/>
      <c r="C157" s="11"/>
      <c r="D157" s="11"/>
      <c r="E157" s="11"/>
      <c r="F157" s="11"/>
      <c r="G157" t="s" s="294">
        <v>231</v>
      </c>
      <c r="H157" s="380">
        <v>91</v>
      </c>
      <c r="I157" s="380">
        <v>91</v>
      </c>
      <c r="J157" s="397">
        <v>20</v>
      </c>
      <c r="K157" s="11"/>
      <c r="L157" s="11"/>
      <c r="M157" s="11"/>
      <c r="N157" t="s" s="294">
        <v>231</v>
      </c>
      <c r="O157" s="380">
        <v>91</v>
      </c>
      <c r="P157" s="380">
        <v>91</v>
      </c>
      <c r="Q157" s="397">
        <v>20</v>
      </c>
      <c r="R157" s="11"/>
      <c r="S157" s="11"/>
      <c r="T157" s="11"/>
      <c r="U157" s="12"/>
    </row>
    <row r="158" ht="16" customHeight="1">
      <c r="A158" s="10"/>
      <c r="B158" s="11"/>
      <c r="C158" s="11"/>
      <c r="D158" s="11"/>
      <c r="E158" s="11"/>
      <c r="F158" s="11"/>
      <c r="G158" t="s" s="294">
        <v>232</v>
      </c>
      <c r="H158" s="380">
        <v>57</v>
      </c>
      <c r="I158" s="380">
        <v>81</v>
      </c>
      <c r="J158" s="397">
        <v>21</v>
      </c>
      <c r="K158" s="11"/>
      <c r="L158" s="11"/>
      <c r="M158" s="11"/>
      <c r="N158" t="s" s="294">
        <v>232</v>
      </c>
      <c r="O158" s="380">
        <v>57</v>
      </c>
      <c r="P158" s="380">
        <v>81</v>
      </c>
      <c r="Q158" s="397">
        <v>21</v>
      </c>
      <c r="R158" s="11"/>
      <c r="S158" s="11"/>
      <c r="T158" s="11"/>
      <c r="U158" s="12"/>
    </row>
    <row r="159" ht="16" customHeight="1">
      <c r="A159" s="10"/>
      <c r="B159" s="11"/>
      <c r="C159" s="11"/>
      <c r="D159" s="11"/>
      <c r="E159" s="11"/>
      <c r="F159" s="11"/>
      <c r="G159" t="s" s="294">
        <v>233</v>
      </c>
      <c r="H159" s="380">
        <v>29</v>
      </c>
      <c r="I159" s="380">
        <v>48</v>
      </c>
      <c r="J159" s="397">
        <v>22</v>
      </c>
      <c r="K159" s="11"/>
      <c r="L159" s="11"/>
      <c r="M159" s="11"/>
      <c r="N159" t="s" s="294">
        <v>233</v>
      </c>
      <c r="O159" s="380">
        <v>29</v>
      </c>
      <c r="P159" s="380">
        <v>48</v>
      </c>
      <c r="Q159" s="397">
        <v>22</v>
      </c>
      <c r="R159" s="11"/>
      <c r="S159" s="11"/>
      <c r="T159" s="11"/>
      <c r="U159" s="12"/>
    </row>
    <row r="160" ht="16" customHeight="1">
      <c r="A160" s="10"/>
      <c r="B160" s="11"/>
      <c r="C160" s="11"/>
      <c r="D160" s="11"/>
      <c r="E160" s="11"/>
      <c r="F160" s="11"/>
      <c r="G160" t="s" s="294">
        <v>234</v>
      </c>
      <c r="H160" s="380">
        <v>5</v>
      </c>
      <c r="I160" s="380">
        <v>9</v>
      </c>
      <c r="J160" s="397">
        <v>23</v>
      </c>
      <c r="K160" s="11"/>
      <c r="L160" s="11"/>
      <c r="M160" s="11"/>
      <c r="N160" t="s" s="294">
        <v>234</v>
      </c>
      <c r="O160" s="380">
        <v>5</v>
      </c>
      <c r="P160" s="380">
        <v>9</v>
      </c>
      <c r="Q160" s="397">
        <v>23</v>
      </c>
      <c r="R160" s="11"/>
      <c r="S160" s="11"/>
      <c r="T160" s="11"/>
      <c r="U160" s="12"/>
    </row>
    <row r="161" ht="16" customHeight="1">
      <c r="A161" s="10"/>
      <c r="B161" s="11"/>
      <c r="C161" s="11"/>
      <c r="D161" s="11"/>
      <c r="E161" s="11"/>
      <c r="F161" s="11"/>
      <c r="G161" t="s" s="294">
        <v>235</v>
      </c>
      <c r="H161" s="380">
        <v>0</v>
      </c>
      <c r="I161" s="380">
        <v>1</v>
      </c>
      <c r="J161" s="397">
        <v>24</v>
      </c>
      <c r="K161" s="11"/>
      <c r="L161" s="11"/>
      <c r="M161" s="11"/>
      <c r="N161" t="s" s="294">
        <v>235</v>
      </c>
      <c r="O161" s="380">
        <v>0</v>
      </c>
      <c r="P161" s="380">
        <v>1</v>
      </c>
      <c r="Q161" s="397">
        <v>24</v>
      </c>
      <c r="R161" s="11"/>
      <c r="S161" s="11"/>
      <c r="T161" s="11"/>
      <c r="U161" s="12"/>
    </row>
    <row r="162" ht="16" customHeight="1">
      <c r="A162" s="10"/>
      <c r="B162" s="11"/>
      <c r="C162" s="11"/>
      <c r="D162" s="11"/>
      <c r="E162" s="11"/>
      <c r="F162" s="11"/>
      <c r="G162" s="11"/>
      <c r="H162" s="387"/>
      <c r="I162" s="387"/>
      <c r="J162" s="11"/>
      <c r="K162" s="11"/>
      <c r="L162" s="11"/>
      <c r="M162" s="11"/>
      <c r="N162" s="11"/>
      <c r="O162" s="387"/>
      <c r="P162" s="387"/>
      <c r="Q162" s="11"/>
      <c r="R162" s="11"/>
      <c r="S162" s="11"/>
      <c r="T162" s="11"/>
      <c r="U162" s="12"/>
    </row>
    <row r="163" ht="16" customHeight="1">
      <c r="A163" s="10"/>
      <c r="B163" s="11"/>
      <c r="C163" s="11"/>
      <c r="D163" s="11"/>
      <c r="E163" s="11"/>
      <c r="F163" s="11"/>
      <c r="G163" t="s" s="294">
        <v>335</v>
      </c>
      <c r="H163" s="394">
        <v>2045</v>
      </c>
      <c r="I163" s="395"/>
      <c r="J163" t="s" s="245">
        <v>333</v>
      </c>
      <c r="K163" s="11"/>
      <c r="L163" s="11"/>
      <c r="M163" s="11"/>
      <c r="N163" s="288"/>
      <c r="O163" s="394">
        <v>2045</v>
      </c>
      <c r="P163" s="395"/>
      <c r="Q163" t="s" s="245">
        <v>333</v>
      </c>
      <c r="R163" s="11"/>
      <c r="S163" s="11"/>
      <c r="T163" s="11"/>
      <c r="U163" s="12"/>
    </row>
    <row r="164" ht="16" customHeight="1">
      <c r="A164" s="10"/>
      <c r="B164" s="11"/>
      <c r="C164" s="11"/>
      <c r="D164" s="11"/>
      <c r="E164" s="11"/>
      <c r="F164" s="11"/>
      <c r="G164" t="s" s="294">
        <v>334</v>
      </c>
      <c r="H164" t="s" s="396">
        <v>107</v>
      </c>
      <c r="I164" t="s" s="396">
        <v>108</v>
      </c>
      <c r="J164" s="130"/>
      <c r="K164" s="11"/>
      <c r="L164" s="11"/>
      <c r="M164" s="11"/>
      <c r="N164" t="s" s="294">
        <v>334</v>
      </c>
      <c r="O164" t="s" s="396">
        <v>107</v>
      </c>
      <c r="P164" t="s" s="396">
        <v>108</v>
      </c>
      <c r="Q164" s="130"/>
      <c r="R164" s="11"/>
      <c r="S164" s="11"/>
      <c r="T164" s="11"/>
      <c r="U164" s="12"/>
    </row>
    <row r="165" ht="16" customHeight="1">
      <c r="A165" s="10"/>
      <c r="B165" s="11"/>
      <c r="C165" s="11"/>
      <c r="D165" s="11"/>
      <c r="E165" s="11"/>
      <c r="F165" s="11"/>
      <c r="G165" t="s" s="294">
        <v>109</v>
      </c>
      <c r="H165" s="380">
        <v>8</v>
      </c>
      <c r="I165" s="380">
        <v>7</v>
      </c>
      <c r="J165" s="397">
        <v>4</v>
      </c>
      <c r="K165" s="11"/>
      <c r="L165" s="11"/>
      <c r="M165" s="11"/>
      <c r="N165" t="s" s="294">
        <v>109</v>
      </c>
      <c r="O165" s="380">
        <v>10</v>
      </c>
      <c r="P165" s="380">
        <v>9</v>
      </c>
      <c r="Q165" s="397">
        <v>4</v>
      </c>
      <c r="R165" s="11"/>
      <c r="S165" s="11"/>
      <c r="T165" s="11"/>
      <c r="U165" s="12"/>
    </row>
    <row r="166" ht="16" customHeight="1">
      <c r="A166" s="10"/>
      <c r="B166" s="11"/>
      <c r="C166" s="11"/>
      <c r="D166" s="11"/>
      <c r="E166" s="11"/>
      <c r="F166" s="11"/>
      <c r="G166" t="s" s="294">
        <v>110</v>
      </c>
      <c r="H166" s="380">
        <v>11</v>
      </c>
      <c r="I166" s="380">
        <v>8</v>
      </c>
      <c r="J166" s="397">
        <v>5</v>
      </c>
      <c r="K166" s="11"/>
      <c r="L166" s="11"/>
      <c r="M166" s="11"/>
      <c r="N166" t="s" s="294">
        <v>110</v>
      </c>
      <c r="O166" s="380">
        <v>13</v>
      </c>
      <c r="P166" s="380">
        <v>9</v>
      </c>
      <c r="Q166" s="397">
        <v>5</v>
      </c>
      <c r="R166" s="11"/>
      <c r="S166" s="11"/>
      <c r="T166" s="11"/>
      <c r="U166" s="12"/>
    </row>
    <row r="167" ht="16" customHeight="1">
      <c r="A167" s="10"/>
      <c r="B167" s="11"/>
      <c r="C167" s="11"/>
      <c r="D167" s="11"/>
      <c r="E167" s="11"/>
      <c r="F167" s="11"/>
      <c r="G167" t="s" s="294">
        <v>111</v>
      </c>
      <c r="H167" s="380">
        <v>14</v>
      </c>
      <c r="I167" s="380">
        <v>9</v>
      </c>
      <c r="J167" s="397">
        <v>6</v>
      </c>
      <c r="K167" s="11"/>
      <c r="L167" s="11"/>
      <c r="M167" s="11"/>
      <c r="N167" t="s" s="294">
        <v>111</v>
      </c>
      <c r="O167" s="380">
        <v>17</v>
      </c>
      <c r="P167" s="380">
        <v>11</v>
      </c>
      <c r="Q167" s="397">
        <v>6</v>
      </c>
      <c r="R167" s="11"/>
      <c r="S167" s="11"/>
      <c r="T167" s="11"/>
      <c r="U167" s="12"/>
    </row>
    <row r="168" ht="16" customHeight="1">
      <c r="A168" s="10"/>
      <c r="B168" s="11"/>
      <c r="C168" s="11"/>
      <c r="D168" s="11"/>
      <c r="E168" s="11"/>
      <c r="F168" s="11"/>
      <c r="G168" t="s" s="294">
        <v>112</v>
      </c>
      <c r="H168" s="380">
        <v>15</v>
      </c>
      <c r="I168" s="380">
        <v>9</v>
      </c>
      <c r="J168" s="397">
        <v>7</v>
      </c>
      <c r="K168" s="11"/>
      <c r="L168" s="11"/>
      <c r="M168" s="11"/>
      <c r="N168" t="s" s="294">
        <v>112</v>
      </c>
      <c r="O168" s="380">
        <v>17</v>
      </c>
      <c r="P168" s="380">
        <v>11</v>
      </c>
      <c r="Q168" s="397">
        <v>7</v>
      </c>
      <c r="R168" s="11"/>
      <c r="S168" s="11"/>
      <c r="T168" s="11"/>
      <c r="U168" s="12"/>
    </row>
    <row r="169" ht="16" customHeight="1">
      <c r="A169" s="10"/>
      <c r="B169" s="11"/>
      <c r="C169" s="11"/>
      <c r="D169" s="11"/>
      <c r="E169" s="11"/>
      <c r="F169" s="11"/>
      <c r="G169" t="s" s="294">
        <v>113</v>
      </c>
      <c r="H169" s="380">
        <v>18</v>
      </c>
      <c r="I169" s="380">
        <v>8</v>
      </c>
      <c r="J169" s="397">
        <v>8</v>
      </c>
      <c r="K169" s="11"/>
      <c r="L169" s="11"/>
      <c r="M169" s="11"/>
      <c r="N169" t="s" s="294">
        <v>113</v>
      </c>
      <c r="O169" s="380">
        <v>19</v>
      </c>
      <c r="P169" s="380">
        <v>8</v>
      </c>
      <c r="Q169" s="397">
        <v>8</v>
      </c>
      <c r="R169" s="11"/>
      <c r="S169" s="11"/>
      <c r="T169" s="11"/>
      <c r="U169" s="12"/>
    </row>
    <row r="170" ht="16" customHeight="1">
      <c r="A170" s="10"/>
      <c r="B170" s="11"/>
      <c r="C170" s="11"/>
      <c r="D170" s="11"/>
      <c r="E170" s="11"/>
      <c r="F170" s="11"/>
      <c r="G170" t="s" s="294">
        <v>114</v>
      </c>
      <c r="H170" s="380">
        <v>10</v>
      </c>
      <c r="I170" s="380">
        <v>9</v>
      </c>
      <c r="J170" s="397">
        <v>9</v>
      </c>
      <c r="K170" s="11"/>
      <c r="L170" s="11"/>
      <c r="M170" s="11"/>
      <c r="N170" t="s" s="294">
        <v>114</v>
      </c>
      <c r="O170" s="380">
        <v>13</v>
      </c>
      <c r="P170" s="380">
        <v>12</v>
      </c>
      <c r="Q170" s="397">
        <v>9</v>
      </c>
      <c r="R170" s="11"/>
      <c r="S170" s="11"/>
      <c r="T170" s="11"/>
      <c r="U170" s="12"/>
    </row>
    <row r="171" ht="16" customHeight="1">
      <c r="A171" s="10"/>
      <c r="B171" s="11"/>
      <c r="C171" s="11"/>
      <c r="D171" s="11"/>
      <c r="E171" s="11"/>
      <c r="F171" s="11"/>
      <c r="G171" t="s" s="294">
        <v>115</v>
      </c>
      <c r="H171" s="380">
        <v>12</v>
      </c>
      <c r="I171" s="380">
        <v>13</v>
      </c>
      <c r="J171" s="397">
        <v>10</v>
      </c>
      <c r="K171" s="11"/>
      <c r="L171" s="11"/>
      <c r="M171" s="11"/>
      <c r="N171" t="s" s="294">
        <v>115</v>
      </c>
      <c r="O171" s="380">
        <v>14</v>
      </c>
      <c r="P171" s="380">
        <v>15</v>
      </c>
      <c r="Q171" s="397">
        <v>10</v>
      </c>
      <c r="R171" s="11"/>
      <c r="S171" s="11"/>
      <c r="T171" s="11"/>
      <c r="U171" s="12"/>
    </row>
    <row r="172" ht="16" customHeight="1">
      <c r="A172" s="10"/>
      <c r="B172" s="11"/>
      <c r="C172" s="11"/>
      <c r="D172" s="11"/>
      <c r="E172" s="11"/>
      <c r="F172" s="11"/>
      <c r="G172" t="s" s="294">
        <v>116</v>
      </c>
      <c r="H172" s="380">
        <v>12</v>
      </c>
      <c r="I172" s="380">
        <v>17</v>
      </c>
      <c r="J172" s="397">
        <v>11</v>
      </c>
      <c r="K172" s="11"/>
      <c r="L172" s="11"/>
      <c r="M172" s="11"/>
      <c r="N172" t="s" s="294">
        <v>116</v>
      </c>
      <c r="O172" s="380">
        <v>14</v>
      </c>
      <c r="P172" s="380">
        <v>18</v>
      </c>
      <c r="Q172" s="397">
        <v>11</v>
      </c>
      <c r="R172" s="11"/>
      <c r="S172" s="11"/>
      <c r="T172" s="11"/>
      <c r="U172" s="12"/>
    </row>
    <row r="173" ht="16" customHeight="1">
      <c r="A173" s="10"/>
      <c r="B173" s="11"/>
      <c r="C173" s="11"/>
      <c r="D173" s="11"/>
      <c r="E173" s="11"/>
      <c r="F173" s="11"/>
      <c r="G173" t="s" s="294">
        <v>117</v>
      </c>
      <c r="H173" s="380">
        <v>13</v>
      </c>
      <c r="I173" s="380">
        <v>17</v>
      </c>
      <c r="J173" s="397">
        <v>12</v>
      </c>
      <c r="K173" s="11"/>
      <c r="L173" s="11"/>
      <c r="M173" s="11"/>
      <c r="N173" t="s" s="294">
        <v>117</v>
      </c>
      <c r="O173" s="380">
        <v>15</v>
      </c>
      <c r="P173" s="380">
        <v>20</v>
      </c>
      <c r="Q173" s="397">
        <v>12</v>
      </c>
      <c r="R173" s="11"/>
      <c r="S173" s="11"/>
      <c r="T173" s="11"/>
      <c r="U173" s="12"/>
    </row>
    <row r="174" ht="16" customHeight="1">
      <c r="A174" s="10"/>
      <c r="B174" s="11"/>
      <c r="C174" s="11"/>
      <c r="D174" s="11"/>
      <c r="E174" s="11"/>
      <c r="F174" s="11"/>
      <c r="G174" t="s" s="294">
        <v>118</v>
      </c>
      <c r="H174" s="380">
        <v>18</v>
      </c>
      <c r="I174" s="380">
        <v>17</v>
      </c>
      <c r="J174" s="397">
        <v>13</v>
      </c>
      <c r="K174" s="11"/>
      <c r="L174" s="11"/>
      <c r="M174" s="11"/>
      <c r="N174" t="s" s="294">
        <v>118</v>
      </c>
      <c r="O174" s="380">
        <v>19</v>
      </c>
      <c r="P174" s="380">
        <v>19</v>
      </c>
      <c r="Q174" s="397">
        <v>13</v>
      </c>
      <c r="R174" s="11"/>
      <c r="S174" s="11"/>
      <c r="T174" s="11"/>
      <c r="U174" s="12"/>
    </row>
    <row r="175" ht="16" customHeight="1">
      <c r="A175" s="10"/>
      <c r="B175" s="11"/>
      <c r="C175" s="11"/>
      <c r="D175" s="11"/>
      <c r="E175" s="11"/>
      <c r="F175" s="11"/>
      <c r="G175" t="s" s="294">
        <v>119</v>
      </c>
      <c r="H175" s="380">
        <v>31</v>
      </c>
      <c r="I175" s="380">
        <v>25</v>
      </c>
      <c r="J175" s="397">
        <v>14</v>
      </c>
      <c r="K175" s="11"/>
      <c r="L175" s="11"/>
      <c r="M175" s="11"/>
      <c r="N175" t="s" s="294">
        <v>119</v>
      </c>
      <c r="O175" s="380">
        <v>31</v>
      </c>
      <c r="P175" s="380">
        <v>26</v>
      </c>
      <c r="Q175" s="397">
        <v>14</v>
      </c>
      <c r="R175" s="11"/>
      <c r="S175" s="11"/>
      <c r="T175" s="11"/>
      <c r="U175" s="12"/>
    </row>
    <row r="176" ht="16" customHeight="1">
      <c r="A176" s="10"/>
      <c r="B176" s="11"/>
      <c r="C176" s="11"/>
      <c r="D176" s="11"/>
      <c r="E176" s="11"/>
      <c r="F176" s="11"/>
      <c r="G176" t="s" s="294">
        <v>120</v>
      </c>
      <c r="H176" s="380">
        <v>28</v>
      </c>
      <c r="I176" s="380">
        <v>41</v>
      </c>
      <c r="J176" s="397">
        <v>15</v>
      </c>
      <c r="K176" s="11"/>
      <c r="L176" s="11"/>
      <c r="M176" s="11"/>
      <c r="N176" t="s" s="294">
        <v>120</v>
      </c>
      <c r="O176" s="380">
        <v>28</v>
      </c>
      <c r="P176" s="380">
        <v>42</v>
      </c>
      <c r="Q176" s="397">
        <v>15</v>
      </c>
      <c r="R176" s="11"/>
      <c r="S176" s="11"/>
      <c r="T176" s="11"/>
      <c r="U176" s="12"/>
    </row>
    <row r="177" ht="16" customHeight="1">
      <c r="A177" s="10"/>
      <c r="B177" s="11"/>
      <c r="C177" s="11"/>
      <c r="D177" s="11"/>
      <c r="E177" s="11"/>
      <c r="F177" s="11"/>
      <c r="G177" t="s" s="294">
        <v>121</v>
      </c>
      <c r="H177" s="380">
        <v>46</v>
      </c>
      <c r="I177" s="380">
        <v>43</v>
      </c>
      <c r="J177" s="397">
        <v>16</v>
      </c>
      <c r="K177" s="11"/>
      <c r="L177" s="11"/>
      <c r="M177" s="11"/>
      <c r="N177" t="s" s="294">
        <v>121</v>
      </c>
      <c r="O177" s="380">
        <v>46</v>
      </c>
      <c r="P177" s="380">
        <v>44</v>
      </c>
      <c r="Q177" s="397">
        <v>16</v>
      </c>
      <c r="R177" s="11"/>
      <c r="S177" s="11"/>
      <c r="T177" s="11"/>
      <c r="U177" s="12"/>
    </row>
    <row r="178" ht="16" customHeight="1">
      <c r="A178" s="10"/>
      <c r="B178" s="11"/>
      <c r="C178" s="11"/>
      <c r="D178" s="11"/>
      <c r="E178" s="11"/>
      <c r="F178" s="11"/>
      <c r="G178" t="s" s="294">
        <v>228</v>
      </c>
      <c r="H178" s="380">
        <v>66</v>
      </c>
      <c r="I178" s="380">
        <v>68</v>
      </c>
      <c r="J178" s="397">
        <v>17</v>
      </c>
      <c r="K178" s="11"/>
      <c r="L178" s="11"/>
      <c r="M178" s="11"/>
      <c r="N178" t="s" s="294">
        <v>228</v>
      </c>
      <c r="O178" s="380">
        <v>66</v>
      </c>
      <c r="P178" s="380">
        <v>68</v>
      </c>
      <c r="Q178" s="397">
        <v>17</v>
      </c>
      <c r="R178" s="11"/>
      <c r="S178" s="11"/>
      <c r="T178" s="11"/>
      <c r="U178" s="12"/>
    </row>
    <row r="179" ht="16" customHeight="1">
      <c r="A179" s="10"/>
      <c r="B179" s="11"/>
      <c r="C179" s="11"/>
      <c r="D179" s="11"/>
      <c r="E179" s="11"/>
      <c r="F179" s="11"/>
      <c r="G179" t="s" s="294">
        <v>229</v>
      </c>
      <c r="H179" s="380">
        <v>56</v>
      </c>
      <c r="I179" s="380">
        <v>45</v>
      </c>
      <c r="J179" s="397">
        <v>18</v>
      </c>
      <c r="K179" s="11"/>
      <c r="L179" s="11"/>
      <c r="M179" s="11"/>
      <c r="N179" t="s" s="294">
        <v>229</v>
      </c>
      <c r="O179" s="380">
        <v>56</v>
      </c>
      <c r="P179" s="380">
        <v>45</v>
      </c>
      <c r="Q179" s="397">
        <v>18</v>
      </c>
      <c r="R179" s="11"/>
      <c r="S179" s="11"/>
      <c r="T179" s="11"/>
      <c r="U179" s="12"/>
    </row>
    <row r="180" ht="16" customHeight="1">
      <c r="A180" s="10"/>
      <c r="B180" s="11"/>
      <c r="C180" s="11"/>
      <c r="D180" s="11"/>
      <c r="E180" s="11"/>
      <c r="F180" s="11"/>
      <c r="G180" t="s" s="294">
        <v>230</v>
      </c>
      <c r="H180" s="380">
        <v>43</v>
      </c>
      <c r="I180" s="380">
        <v>60</v>
      </c>
      <c r="J180" s="397">
        <v>19</v>
      </c>
      <c r="K180" s="11"/>
      <c r="L180" s="11"/>
      <c r="M180" s="11"/>
      <c r="N180" t="s" s="294">
        <v>230</v>
      </c>
      <c r="O180" s="380">
        <v>43</v>
      </c>
      <c r="P180" s="380">
        <v>60</v>
      </c>
      <c r="Q180" s="397">
        <v>19</v>
      </c>
      <c r="R180" s="11"/>
      <c r="S180" s="11"/>
      <c r="T180" s="11"/>
      <c r="U180" s="12"/>
    </row>
    <row r="181" ht="16" customHeight="1">
      <c r="A181" s="10"/>
      <c r="B181" s="11"/>
      <c r="C181" s="11"/>
      <c r="D181" s="11"/>
      <c r="E181" s="11"/>
      <c r="F181" s="11"/>
      <c r="G181" t="s" s="294">
        <v>231</v>
      </c>
      <c r="H181" s="380">
        <v>46</v>
      </c>
      <c r="I181" s="380">
        <v>68</v>
      </c>
      <c r="J181" s="397">
        <v>20</v>
      </c>
      <c r="K181" s="11"/>
      <c r="L181" s="11"/>
      <c r="M181" s="11"/>
      <c r="N181" t="s" s="294">
        <v>231</v>
      </c>
      <c r="O181" s="380">
        <v>46</v>
      </c>
      <c r="P181" s="380">
        <v>68</v>
      </c>
      <c r="Q181" s="397">
        <v>20</v>
      </c>
      <c r="R181" s="11"/>
      <c r="S181" s="11"/>
      <c r="T181" s="11"/>
      <c r="U181" s="12"/>
    </row>
    <row r="182" ht="16" customHeight="1">
      <c r="A182" s="10"/>
      <c r="B182" s="11"/>
      <c r="C182" s="11"/>
      <c r="D182" s="11"/>
      <c r="E182" s="11"/>
      <c r="F182" s="11"/>
      <c r="G182" t="s" s="294">
        <v>232</v>
      </c>
      <c r="H182" s="380">
        <v>56</v>
      </c>
      <c r="I182" s="380">
        <v>66</v>
      </c>
      <c r="J182" s="397">
        <v>21</v>
      </c>
      <c r="K182" s="11"/>
      <c r="L182" s="11"/>
      <c r="M182" s="11"/>
      <c r="N182" t="s" s="294">
        <v>232</v>
      </c>
      <c r="O182" s="380">
        <v>56</v>
      </c>
      <c r="P182" s="380">
        <v>66</v>
      </c>
      <c r="Q182" s="397">
        <v>21</v>
      </c>
      <c r="R182" s="11"/>
      <c r="S182" s="11"/>
      <c r="T182" s="11"/>
      <c r="U182" s="12"/>
    </row>
    <row r="183" ht="16" customHeight="1">
      <c r="A183" s="10"/>
      <c r="B183" s="11"/>
      <c r="C183" s="11"/>
      <c r="D183" s="11"/>
      <c r="E183" s="11"/>
      <c r="F183" s="11"/>
      <c r="G183" t="s" s="294">
        <v>233</v>
      </c>
      <c r="H183" s="380">
        <v>23</v>
      </c>
      <c r="I183" s="380">
        <v>40</v>
      </c>
      <c r="J183" s="397">
        <v>22</v>
      </c>
      <c r="K183" s="11"/>
      <c r="L183" s="11"/>
      <c r="M183" s="11"/>
      <c r="N183" t="s" s="294">
        <v>233</v>
      </c>
      <c r="O183" s="380">
        <v>23</v>
      </c>
      <c r="P183" s="380">
        <v>40</v>
      </c>
      <c r="Q183" s="397">
        <v>22</v>
      </c>
      <c r="R183" s="11"/>
      <c r="S183" s="11"/>
      <c r="T183" s="11"/>
      <c r="U183" s="12"/>
    </row>
    <row r="184" ht="16" customHeight="1">
      <c r="A184" s="10"/>
      <c r="B184" s="11"/>
      <c r="C184" s="11"/>
      <c r="D184" s="11"/>
      <c r="E184" s="11"/>
      <c r="F184" s="11"/>
      <c r="G184" t="s" s="294">
        <v>234</v>
      </c>
      <c r="H184" s="380">
        <v>6</v>
      </c>
      <c r="I184" s="380">
        <v>10</v>
      </c>
      <c r="J184" s="397">
        <v>23</v>
      </c>
      <c r="K184" s="11"/>
      <c r="L184" s="11"/>
      <c r="M184" s="11"/>
      <c r="N184" t="s" s="294">
        <v>234</v>
      </c>
      <c r="O184" s="380">
        <v>6</v>
      </c>
      <c r="P184" s="380">
        <v>10</v>
      </c>
      <c r="Q184" s="397">
        <v>23</v>
      </c>
      <c r="R184" s="11"/>
      <c r="S184" s="11"/>
      <c r="T184" s="11"/>
      <c r="U184" s="12"/>
    </row>
    <row r="185" ht="16" customHeight="1">
      <c r="A185" s="10"/>
      <c r="B185" s="11"/>
      <c r="C185" s="11"/>
      <c r="D185" s="11"/>
      <c r="E185" s="11"/>
      <c r="F185" s="11"/>
      <c r="G185" t="s" s="294">
        <v>235</v>
      </c>
      <c r="H185" s="380">
        <v>0</v>
      </c>
      <c r="I185" s="380">
        <v>1</v>
      </c>
      <c r="J185" s="397">
        <v>24</v>
      </c>
      <c r="K185" s="11"/>
      <c r="L185" s="11"/>
      <c r="M185" s="11"/>
      <c r="N185" t="s" s="294">
        <v>235</v>
      </c>
      <c r="O185" s="380">
        <v>0</v>
      </c>
      <c r="P185" s="380">
        <v>1</v>
      </c>
      <c r="Q185" s="397">
        <v>24</v>
      </c>
      <c r="R185" s="11"/>
      <c r="S185" s="11"/>
      <c r="T185" s="11"/>
      <c r="U185" s="12"/>
    </row>
    <row r="186" ht="16" customHeight="1">
      <c r="A186" s="10"/>
      <c r="B186" s="11"/>
      <c r="C186" s="11"/>
      <c r="D186" s="11"/>
      <c r="E186" s="11"/>
      <c r="F186" s="11"/>
      <c r="G186" s="11"/>
      <c r="H186" s="387"/>
      <c r="I186" s="387"/>
      <c r="J186" s="11"/>
      <c r="K186" s="11"/>
      <c r="L186" s="11"/>
      <c r="M186" s="11"/>
      <c r="N186" s="11"/>
      <c r="O186" s="387"/>
      <c r="P186" s="387"/>
      <c r="Q186" s="11"/>
      <c r="R186" s="11"/>
      <c r="S186" s="11"/>
      <c r="T186" s="11"/>
      <c r="U186" s="12"/>
    </row>
    <row r="187" ht="16" customHeight="1">
      <c r="A187" s="10"/>
      <c r="B187" s="11"/>
      <c r="C187" s="11"/>
      <c r="D187" s="11"/>
      <c r="E187" s="11"/>
      <c r="F187" s="11"/>
      <c r="G187" t="s" s="294">
        <v>336</v>
      </c>
      <c r="H187" s="394">
        <v>2050</v>
      </c>
      <c r="I187" s="395"/>
      <c r="J187" t="s" s="245">
        <v>333</v>
      </c>
      <c r="K187" s="11"/>
      <c r="L187" s="11"/>
      <c r="M187" s="11"/>
      <c r="N187" s="288"/>
      <c r="O187" s="394">
        <v>2050</v>
      </c>
      <c r="P187" s="395"/>
      <c r="Q187" t="s" s="245">
        <v>333</v>
      </c>
      <c r="R187" s="11"/>
      <c r="S187" s="11"/>
      <c r="T187" s="11"/>
      <c r="U187" s="12"/>
    </row>
    <row r="188" ht="16" customHeight="1">
      <c r="A188" s="10"/>
      <c r="B188" s="11"/>
      <c r="C188" s="11"/>
      <c r="D188" s="11"/>
      <c r="E188" s="11"/>
      <c r="F188" s="11"/>
      <c r="G188" t="s" s="294">
        <v>334</v>
      </c>
      <c r="H188" t="s" s="396">
        <v>107</v>
      </c>
      <c r="I188" t="s" s="396">
        <v>108</v>
      </c>
      <c r="J188" s="130"/>
      <c r="K188" s="11"/>
      <c r="L188" s="11"/>
      <c r="M188" s="11"/>
      <c r="N188" t="s" s="294">
        <v>334</v>
      </c>
      <c r="O188" t="s" s="396">
        <v>107</v>
      </c>
      <c r="P188" t="s" s="396">
        <v>108</v>
      </c>
      <c r="Q188" s="130"/>
      <c r="R188" s="11"/>
      <c r="S188" s="11"/>
      <c r="T188" s="11"/>
      <c r="U188" s="12"/>
    </row>
    <row r="189" ht="16" customHeight="1">
      <c r="A189" s="10"/>
      <c r="B189" s="11"/>
      <c r="C189" s="11"/>
      <c r="D189" s="11"/>
      <c r="E189" s="11"/>
      <c r="F189" s="11"/>
      <c r="G189" t="s" s="294">
        <v>109</v>
      </c>
      <c r="H189" s="380">
        <v>6</v>
      </c>
      <c r="I189" s="380">
        <v>5</v>
      </c>
      <c r="J189" s="397">
        <v>4</v>
      </c>
      <c r="K189" s="11"/>
      <c r="L189" s="11"/>
      <c r="M189" s="11"/>
      <c r="N189" t="s" s="294">
        <v>109</v>
      </c>
      <c r="O189" s="380">
        <v>8</v>
      </c>
      <c r="P189" s="380">
        <v>7</v>
      </c>
      <c r="Q189" s="397">
        <v>4</v>
      </c>
      <c r="R189" s="11"/>
      <c r="S189" s="11"/>
      <c r="T189" s="11"/>
      <c r="U189" s="12"/>
    </row>
    <row r="190" ht="16" customHeight="1">
      <c r="A190" s="10"/>
      <c r="B190" s="11"/>
      <c r="C190" s="11"/>
      <c r="D190" s="11"/>
      <c r="E190" s="11"/>
      <c r="F190" s="11"/>
      <c r="G190" t="s" s="294">
        <v>110</v>
      </c>
      <c r="H190" s="380">
        <v>8</v>
      </c>
      <c r="I190" s="380">
        <v>6</v>
      </c>
      <c r="J190" s="397">
        <v>5</v>
      </c>
      <c r="K190" s="11"/>
      <c r="L190" s="11"/>
      <c r="M190" s="11"/>
      <c r="N190" t="s" s="294">
        <v>110</v>
      </c>
      <c r="O190" s="380">
        <v>11</v>
      </c>
      <c r="P190" s="380">
        <v>8</v>
      </c>
      <c r="Q190" s="397">
        <v>5</v>
      </c>
      <c r="R190" s="11"/>
      <c r="S190" s="11"/>
      <c r="T190" s="11"/>
      <c r="U190" s="12"/>
    </row>
    <row r="191" ht="16" customHeight="1">
      <c r="A191" s="10"/>
      <c r="B191" s="11"/>
      <c r="C191" s="11"/>
      <c r="D191" s="11"/>
      <c r="E191" s="11"/>
      <c r="F191" s="11"/>
      <c r="G191" t="s" s="294">
        <v>111</v>
      </c>
      <c r="H191" s="380">
        <v>11</v>
      </c>
      <c r="I191" s="380">
        <v>7</v>
      </c>
      <c r="J191" s="397">
        <v>6</v>
      </c>
      <c r="K191" s="11"/>
      <c r="L191" s="11"/>
      <c r="M191" s="11"/>
      <c r="N191" t="s" s="294">
        <v>111</v>
      </c>
      <c r="O191" s="380">
        <v>15</v>
      </c>
      <c r="P191" s="380">
        <v>9</v>
      </c>
      <c r="Q191" s="397">
        <v>6</v>
      </c>
      <c r="R191" s="11"/>
      <c r="S191" s="11"/>
      <c r="T191" s="11"/>
      <c r="U191" s="12"/>
    </row>
    <row r="192" ht="16" customHeight="1">
      <c r="A192" s="10"/>
      <c r="B192" s="11"/>
      <c r="C192" s="11"/>
      <c r="D192" s="11"/>
      <c r="E192" s="11"/>
      <c r="F192" s="11"/>
      <c r="G192" t="s" s="294">
        <v>112</v>
      </c>
      <c r="H192" s="380">
        <v>12</v>
      </c>
      <c r="I192" s="380">
        <v>7</v>
      </c>
      <c r="J192" s="397">
        <v>7</v>
      </c>
      <c r="K192" s="11"/>
      <c r="L192" s="11"/>
      <c r="M192" s="11"/>
      <c r="N192" t="s" s="294">
        <v>112</v>
      </c>
      <c r="O192" s="380">
        <v>14</v>
      </c>
      <c r="P192" s="380">
        <v>9</v>
      </c>
      <c r="Q192" s="397">
        <v>7</v>
      </c>
      <c r="R192" s="11"/>
      <c r="S192" s="11"/>
      <c r="T192" s="11"/>
      <c r="U192" s="12"/>
    </row>
    <row r="193" ht="16" customHeight="1">
      <c r="A193" s="10"/>
      <c r="B193" s="11"/>
      <c r="C193" s="11"/>
      <c r="D193" s="11"/>
      <c r="E193" s="11"/>
      <c r="F193" s="11"/>
      <c r="G193" t="s" s="294">
        <v>113</v>
      </c>
      <c r="H193" s="380">
        <v>13</v>
      </c>
      <c r="I193" s="380">
        <v>6</v>
      </c>
      <c r="J193" s="397">
        <v>8</v>
      </c>
      <c r="K193" s="11"/>
      <c r="L193" s="11"/>
      <c r="M193" s="11"/>
      <c r="N193" t="s" s="294">
        <v>113</v>
      </c>
      <c r="O193" s="380">
        <v>15</v>
      </c>
      <c r="P193" s="380">
        <v>7</v>
      </c>
      <c r="Q193" s="397">
        <v>8</v>
      </c>
      <c r="R193" s="11"/>
      <c r="S193" s="11"/>
      <c r="T193" s="11"/>
      <c r="U193" s="12"/>
    </row>
    <row r="194" ht="16" customHeight="1">
      <c r="A194" s="10"/>
      <c r="B194" s="11"/>
      <c r="C194" s="11"/>
      <c r="D194" s="11"/>
      <c r="E194" s="11"/>
      <c r="F194" s="11"/>
      <c r="G194" t="s" s="294">
        <v>114</v>
      </c>
      <c r="H194" s="380">
        <v>8</v>
      </c>
      <c r="I194" s="380">
        <v>7</v>
      </c>
      <c r="J194" s="397">
        <v>9</v>
      </c>
      <c r="K194" s="11"/>
      <c r="L194" s="11"/>
      <c r="M194" s="11"/>
      <c r="N194" t="s" s="294">
        <v>114</v>
      </c>
      <c r="O194" s="380">
        <v>11</v>
      </c>
      <c r="P194" s="380">
        <v>10</v>
      </c>
      <c r="Q194" s="397">
        <v>9</v>
      </c>
      <c r="R194" s="11"/>
      <c r="S194" s="11"/>
      <c r="T194" s="11"/>
      <c r="U194" s="12"/>
    </row>
    <row r="195" ht="16" customHeight="1">
      <c r="A195" s="10"/>
      <c r="B195" s="11"/>
      <c r="C195" s="11"/>
      <c r="D195" s="11"/>
      <c r="E195" s="11"/>
      <c r="F195" s="11"/>
      <c r="G195" t="s" s="294">
        <v>115</v>
      </c>
      <c r="H195" s="380">
        <v>9</v>
      </c>
      <c r="I195" s="380">
        <v>8</v>
      </c>
      <c r="J195" s="397">
        <v>10</v>
      </c>
      <c r="K195" s="11"/>
      <c r="L195" s="11"/>
      <c r="M195" s="11"/>
      <c r="N195" t="s" s="294">
        <v>115</v>
      </c>
      <c r="O195" s="380">
        <v>11</v>
      </c>
      <c r="P195" s="380">
        <v>10</v>
      </c>
      <c r="Q195" s="397">
        <v>10</v>
      </c>
      <c r="R195" s="11"/>
      <c r="S195" s="11"/>
      <c r="T195" s="11"/>
      <c r="U195" s="12"/>
    </row>
    <row r="196" ht="16" customHeight="1">
      <c r="A196" s="10"/>
      <c r="B196" s="11"/>
      <c r="C196" s="11"/>
      <c r="D196" s="11"/>
      <c r="E196" s="11"/>
      <c r="F196" s="11"/>
      <c r="G196" t="s" s="294">
        <v>116</v>
      </c>
      <c r="H196" s="380">
        <v>11</v>
      </c>
      <c r="I196" s="380">
        <v>12</v>
      </c>
      <c r="J196" s="397">
        <v>11</v>
      </c>
      <c r="K196" s="11"/>
      <c r="L196" s="11"/>
      <c r="M196" s="11"/>
      <c r="N196" t="s" s="294">
        <v>116</v>
      </c>
      <c r="O196" s="380">
        <v>13</v>
      </c>
      <c r="P196" s="380">
        <v>14</v>
      </c>
      <c r="Q196" s="397">
        <v>11</v>
      </c>
      <c r="R196" s="11"/>
      <c r="S196" s="11"/>
      <c r="T196" s="11"/>
      <c r="U196" s="12"/>
    </row>
    <row r="197" ht="16" customHeight="1">
      <c r="A197" s="10"/>
      <c r="B197" s="11"/>
      <c r="C197" s="11"/>
      <c r="D197" s="11"/>
      <c r="E197" s="11"/>
      <c r="F197" s="11"/>
      <c r="G197" t="s" s="294">
        <v>117</v>
      </c>
      <c r="H197" s="380">
        <v>11</v>
      </c>
      <c r="I197" s="380">
        <v>15</v>
      </c>
      <c r="J197" s="397">
        <v>12</v>
      </c>
      <c r="K197" s="11"/>
      <c r="L197" s="11"/>
      <c r="M197" s="11"/>
      <c r="N197" t="s" s="294">
        <v>117</v>
      </c>
      <c r="O197" s="380">
        <v>13</v>
      </c>
      <c r="P197" s="380">
        <v>18</v>
      </c>
      <c r="Q197" s="397">
        <v>12</v>
      </c>
      <c r="R197" s="11"/>
      <c r="S197" s="11"/>
      <c r="T197" s="11"/>
      <c r="U197" s="12"/>
    </row>
    <row r="198" ht="16" customHeight="1">
      <c r="A198" s="10"/>
      <c r="B198" s="11"/>
      <c r="C198" s="11"/>
      <c r="D198" s="11"/>
      <c r="E198" s="11"/>
      <c r="F198" s="11"/>
      <c r="G198" t="s" s="294">
        <v>118</v>
      </c>
      <c r="H198" s="380">
        <v>13</v>
      </c>
      <c r="I198" s="380">
        <v>16</v>
      </c>
      <c r="J198" s="397">
        <v>13</v>
      </c>
      <c r="K198" s="11"/>
      <c r="L198" s="11"/>
      <c r="M198" s="11"/>
      <c r="N198" t="s" s="294">
        <v>118</v>
      </c>
      <c r="O198" s="380">
        <v>15</v>
      </c>
      <c r="P198" s="380">
        <v>18</v>
      </c>
      <c r="Q198" s="397">
        <v>13</v>
      </c>
      <c r="R198" s="11"/>
      <c r="S198" s="11"/>
      <c r="T198" s="11"/>
      <c r="U198" s="12"/>
    </row>
    <row r="199" ht="16" customHeight="1">
      <c r="A199" s="10"/>
      <c r="B199" s="11"/>
      <c r="C199" s="11"/>
      <c r="D199" s="11"/>
      <c r="E199" s="11"/>
      <c r="F199" s="11"/>
      <c r="G199" t="s" s="294">
        <v>119</v>
      </c>
      <c r="H199" s="380">
        <v>17</v>
      </c>
      <c r="I199" s="380">
        <v>17</v>
      </c>
      <c r="J199" s="397">
        <v>14</v>
      </c>
      <c r="K199" s="11"/>
      <c r="L199" s="11"/>
      <c r="M199" s="11"/>
      <c r="N199" t="s" s="294">
        <v>119</v>
      </c>
      <c r="O199" s="380">
        <v>19</v>
      </c>
      <c r="P199" s="380">
        <v>19</v>
      </c>
      <c r="Q199" s="397">
        <v>14</v>
      </c>
      <c r="R199" s="11"/>
      <c r="S199" s="11"/>
      <c r="T199" s="11"/>
      <c r="U199" s="12"/>
    </row>
    <row r="200" ht="16" customHeight="1">
      <c r="A200" s="10"/>
      <c r="B200" s="11"/>
      <c r="C200" s="11"/>
      <c r="D200" s="11"/>
      <c r="E200" s="11"/>
      <c r="F200" s="11"/>
      <c r="G200" t="s" s="294">
        <v>120</v>
      </c>
      <c r="H200" s="380">
        <v>30</v>
      </c>
      <c r="I200" s="380">
        <v>25</v>
      </c>
      <c r="J200" s="397">
        <v>15</v>
      </c>
      <c r="K200" s="11"/>
      <c r="L200" s="11"/>
      <c r="M200" s="11"/>
      <c r="N200" t="s" s="294">
        <v>120</v>
      </c>
      <c r="O200" s="380">
        <v>30</v>
      </c>
      <c r="P200" s="380">
        <v>26</v>
      </c>
      <c r="Q200" s="397">
        <v>15</v>
      </c>
      <c r="R200" s="11"/>
      <c r="S200" s="11"/>
      <c r="T200" s="11"/>
      <c r="U200" s="12"/>
    </row>
    <row r="201" ht="16" customHeight="1">
      <c r="A201" s="10"/>
      <c r="B201" s="11"/>
      <c r="C201" s="11"/>
      <c r="D201" s="11"/>
      <c r="E201" s="11"/>
      <c r="F201" s="11"/>
      <c r="G201" t="s" s="294">
        <v>121</v>
      </c>
      <c r="H201" s="380">
        <v>27</v>
      </c>
      <c r="I201" s="380">
        <v>40</v>
      </c>
      <c r="J201" s="397">
        <v>16</v>
      </c>
      <c r="K201" s="11"/>
      <c r="L201" s="11"/>
      <c r="M201" s="11"/>
      <c r="N201" t="s" s="294">
        <v>121</v>
      </c>
      <c r="O201" s="380">
        <v>27</v>
      </c>
      <c r="P201" s="380">
        <v>41</v>
      </c>
      <c r="Q201" s="397">
        <v>16</v>
      </c>
      <c r="R201" s="11"/>
      <c r="S201" s="11"/>
      <c r="T201" s="11"/>
      <c r="U201" s="12"/>
    </row>
    <row r="202" ht="16" customHeight="1">
      <c r="A202" s="10"/>
      <c r="B202" s="11"/>
      <c r="C202" s="11"/>
      <c r="D202" s="11"/>
      <c r="E202" s="11"/>
      <c r="F202" s="11"/>
      <c r="G202" t="s" s="294">
        <v>228</v>
      </c>
      <c r="H202" s="380">
        <v>43</v>
      </c>
      <c r="I202" s="380">
        <v>42</v>
      </c>
      <c r="J202" s="397">
        <v>17</v>
      </c>
      <c r="K202" s="11"/>
      <c r="L202" s="11"/>
      <c r="M202" s="11"/>
      <c r="N202" t="s" s="294">
        <v>228</v>
      </c>
      <c r="O202" s="380">
        <v>43</v>
      </c>
      <c r="P202" s="380">
        <v>43</v>
      </c>
      <c r="Q202" s="397">
        <v>17</v>
      </c>
      <c r="R202" s="11"/>
      <c r="S202" s="11"/>
      <c r="T202" s="11"/>
      <c r="U202" s="12"/>
    </row>
    <row r="203" ht="16" customHeight="1">
      <c r="A203" s="10"/>
      <c r="B203" s="11"/>
      <c r="C203" s="11"/>
      <c r="D203" s="11"/>
      <c r="E203" s="11"/>
      <c r="F203" s="11"/>
      <c r="G203" t="s" s="294">
        <v>229</v>
      </c>
      <c r="H203" s="380">
        <v>60</v>
      </c>
      <c r="I203" s="380">
        <v>64</v>
      </c>
      <c r="J203" s="397">
        <v>18</v>
      </c>
      <c r="K203" s="11"/>
      <c r="L203" s="11"/>
      <c r="M203" s="11"/>
      <c r="N203" t="s" s="294">
        <v>229</v>
      </c>
      <c r="O203" s="380">
        <v>60</v>
      </c>
      <c r="P203" s="380">
        <v>64</v>
      </c>
      <c r="Q203" s="397">
        <v>18</v>
      </c>
      <c r="R203" s="11"/>
      <c r="S203" s="11"/>
      <c r="T203" s="11"/>
      <c r="U203" s="12"/>
    </row>
    <row r="204" ht="16" customHeight="1">
      <c r="A204" s="10"/>
      <c r="B204" s="11"/>
      <c r="C204" s="11"/>
      <c r="D204" s="11"/>
      <c r="E204" s="11"/>
      <c r="F204" s="11"/>
      <c r="G204" t="s" s="294">
        <v>230</v>
      </c>
      <c r="H204" s="380">
        <v>47</v>
      </c>
      <c r="I204" s="380">
        <v>41</v>
      </c>
      <c r="J204" s="397">
        <v>19</v>
      </c>
      <c r="K204" s="11"/>
      <c r="L204" s="11"/>
      <c r="M204" s="11"/>
      <c r="N204" t="s" s="294">
        <v>230</v>
      </c>
      <c r="O204" s="380">
        <v>47</v>
      </c>
      <c r="P204" s="380">
        <v>41</v>
      </c>
      <c r="Q204" s="397">
        <v>19</v>
      </c>
      <c r="R204" s="11"/>
      <c r="S204" s="11"/>
      <c r="T204" s="11"/>
      <c r="U204" s="12"/>
    </row>
    <row r="205" ht="16" customHeight="1">
      <c r="A205" s="10"/>
      <c r="B205" s="11"/>
      <c r="C205" s="11"/>
      <c r="D205" s="11"/>
      <c r="E205" s="11"/>
      <c r="F205" s="11"/>
      <c r="G205" t="s" s="294">
        <v>231</v>
      </c>
      <c r="H205" s="380">
        <v>35</v>
      </c>
      <c r="I205" s="380">
        <v>49</v>
      </c>
      <c r="J205" s="397">
        <v>20</v>
      </c>
      <c r="K205" s="11"/>
      <c r="L205" s="11"/>
      <c r="M205" s="11"/>
      <c r="N205" t="s" s="294">
        <v>231</v>
      </c>
      <c r="O205" s="380">
        <v>35</v>
      </c>
      <c r="P205" s="380">
        <v>49</v>
      </c>
      <c r="Q205" s="397">
        <v>20</v>
      </c>
      <c r="R205" s="11"/>
      <c r="S205" s="11"/>
      <c r="T205" s="11"/>
      <c r="U205" s="12"/>
    </row>
    <row r="206" ht="16" customHeight="1">
      <c r="A206" s="10"/>
      <c r="B206" s="11"/>
      <c r="C206" s="11"/>
      <c r="D206" s="11"/>
      <c r="E206" s="11"/>
      <c r="F206" s="11"/>
      <c r="G206" t="s" s="294">
        <v>232</v>
      </c>
      <c r="H206" s="380">
        <v>28</v>
      </c>
      <c r="I206" s="380">
        <v>49</v>
      </c>
      <c r="J206" s="397">
        <v>21</v>
      </c>
      <c r="K206" s="11"/>
      <c r="L206" s="11"/>
      <c r="M206" s="11"/>
      <c r="N206" t="s" s="294">
        <v>232</v>
      </c>
      <c r="O206" s="380">
        <v>28</v>
      </c>
      <c r="P206" s="380">
        <v>49</v>
      </c>
      <c r="Q206" s="397">
        <v>21</v>
      </c>
      <c r="R206" s="11"/>
      <c r="S206" s="11"/>
      <c r="T206" s="11"/>
      <c r="U206" s="12"/>
    </row>
    <row r="207" ht="16" customHeight="1">
      <c r="A207" s="10"/>
      <c r="B207" s="11"/>
      <c r="C207" s="11"/>
      <c r="D207" s="11"/>
      <c r="E207" s="11"/>
      <c r="F207" s="11"/>
      <c r="G207" t="s" s="294">
        <v>233</v>
      </c>
      <c r="H207" s="380">
        <v>23</v>
      </c>
      <c r="I207" s="380">
        <v>32</v>
      </c>
      <c r="J207" s="397">
        <v>22</v>
      </c>
      <c r="K207" s="11"/>
      <c r="L207" s="11"/>
      <c r="M207" s="11"/>
      <c r="N207" t="s" s="294">
        <v>233</v>
      </c>
      <c r="O207" s="380">
        <v>23</v>
      </c>
      <c r="P207" s="380">
        <v>32</v>
      </c>
      <c r="Q207" s="397">
        <v>22</v>
      </c>
      <c r="R207" s="11"/>
      <c r="S207" s="11"/>
      <c r="T207" s="11"/>
      <c r="U207" s="12"/>
    </row>
    <row r="208" ht="16" customHeight="1">
      <c r="A208" s="10"/>
      <c r="B208" s="11"/>
      <c r="C208" s="11"/>
      <c r="D208" s="11"/>
      <c r="E208" s="11"/>
      <c r="F208" s="11"/>
      <c r="G208" t="s" s="294">
        <v>234</v>
      </c>
      <c r="H208" s="380">
        <v>4</v>
      </c>
      <c r="I208" s="380">
        <v>9</v>
      </c>
      <c r="J208" s="397">
        <v>23</v>
      </c>
      <c r="K208" s="11"/>
      <c r="L208" s="11"/>
      <c r="M208" s="11"/>
      <c r="N208" t="s" s="294">
        <v>234</v>
      </c>
      <c r="O208" s="380">
        <v>4</v>
      </c>
      <c r="P208" s="380">
        <v>9</v>
      </c>
      <c r="Q208" s="397">
        <v>23</v>
      </c>
      <c r="R208" s="11"/>
      <c r="S208" s="11"/>
      <c r="T208" s="11"/>
      <c r="U208" s="12"/>
    </row>
    <row r="209" ht="16" customHeight="1">
      <c r="A209" s="10"/>
      <c r="B209" s="11"/>
      <c r="C209" s="11"/>
      <c r="D209" s="11"/>
      <c r="E209" s="11"/>
      <c r="F209" s="11"/>
      <c r="G209" t="s" s="294">
        <v>235</v>
      </c>
      <c r="H209" s="380">
        <v>0</v>
      </c>
      <c r="I209" s="380">
        <v>1</v>
      </c>
      <c r="J209" s="397">
        <v>24</v>
      </c>
      <c r="K209" s="11"/>
      <c r="L209" s="11"/>
      <c r="M209" s="11"/>
      <c r="N209" t="s" s="294">
        <v>235</v>
      </c>
      <c r="O209" s="380">
        <v>0</v>
      </c>
      <c r="P209" s="380">
        <v>1</v>
      </c>
      <c r="Q209" s="397">
        <v>24</v>
      </c>
      <c r="R209" s="11"/>
      <c r="S209" s="11"/>
      <c r="T209" s="11"/>
      <c r="U209" s="12"/>
    </row>
    <row r="210" ht="16" customHeight="1">
      <c r="A210" s="10"/>
      <c r="B210" s="11"/>
      <c r="C210" s="11"/>
      <c r="D210" s="11"/>
      <c r="E210" s="11"/>
      <c r="F210" s="11"/>
      <c r="G210" s="11"/>
      <c r="H210" s="196"/>
      <c r="I210" s="196"/>
      <c r="J210" s="11"/>
      <c r="K210" s="11"/>
      <c r="L210" s="11"/>
      <c r="M210" s="11"/>
      <c r="N210" s="11"/>
      <c r="O210" s="196"/>
      <c r="P210" s="196"/>
      <c r="Q210" s="11"/>
      <c r="R210" s="11"/>
      <c r="S210" s="11"/>
      <c r="T210" s="11"/>
      <c r="U210" s="12"/>
    </row>
    <row r="211" ht="16" customHeight="1">
      <c r="A211" s="10"/>
      <c r="B211" s="11"/>
      <c r="C211" s="11"/>
      <c r="D211" s="11"/>
      <c r="E211" s="11"/>
      <c r="F211" s="11"/>
      <c r="G211" s="11"/>
      <c r="H211" s="11"/>
      <c r="I211" s="11"/>
      <c r="J211" s="11"/>
      <c r="K211" s="11"/>
      <c r="L211" s="11"/>
      <c r="M211" s="11"/>
      <c r="N211" s="11"/>
      <c r="O211" s="109"/>
      <c r="P211" s="109"/>
      <c r="Q211" s="11"/>
      <c r="R211" s="11"/>
      <c r="S211" s="11"/>
      <c r="T211" s="11"/>
      <c r="U211" s="12"/>
    </row>
    <row r="212" ht="16" customHeight="1">
      <c r="A212" s="10"/>
      <c r="B212" s="11"/>
      <c r="C212" s="11"/>
      <c r="D212" s="11"/>
      <c r="E212" s="11"/>
      <c r="F212" s="11"/>
      <c r="G212" s="11"/>
      <c r="H212" s="11"/>
      <c r="I212" s="11"/>
      <c r="J212" s="11"/>
      <c r="K212" s="11"/>
      <c r="L212" s="11"/>
      <c r="M212" s="11"/>
      <c r="N212" t="s" s="294">
        <v>337</v>
      </c>
      <c r="O212" s="394">
        <f>O91</f>
        <v>2030</v>
      </c>
      <c r="P212" s="395"/>
      <c r="Q212" t="s" s="245">
        <v>333</v>
      </c>
      <c r="R212" s="11"/>
      <c r="S212" s="11"/>
      <c r="T212" s="11"/>
      <c r="U212" s="12"/>
    </row>
    <row r="213" ht="16" customHeight="1">
      <c r="A213" s="10"/>
      <c r="B213" s="11"/>
      <c r="C213" s="11"/>
      <c r="D213" s="11"/>
      <c r="E213" s="11"/>
      <c r="F213" s="11"/>
      <c r="G213" s="11"/>
      <c r="H213" s="11"/>
      <c r="I213" s="11"/>
      <c r="J213" s="11"/>
      <c r="K213" s="11"/>
      <c r="L213" s="11"/>
      <c r="M213" s="11"/>
      <c r="N213" t="s" s="294">
        <v>334</v>
      </c>
      <c r="O213" t="s" s="400">
        <v>338</v>
      </c>
      <c r="P213" t="s" s="400">
        <v>339</v>
      </c>
      <c r="Q213" s="130"/>
      <c r="R213" s="11"/>
      <c r="S213" s="11"/>
      <c r="T213" s="11"/>
      <c r="U213" s="12"/>
    </row>
    <row r="214" ht="16" customHeight="1">
      <c r="A214" s="10"/>
      <c r="B214" s="11"/>
      <c r="C214" s="11"/>
      <c r="D214" s="11"/>
      <c r="E214" s="11"/>
      <c r="F214" s="11"/>
      <c r="G214" s="11"/>
      <c r="H214" s="11"/>
      <c r="I214" s="11"/>
      <c r="J214" s="11"/>
      <c r="K214" s="11"/>
      <c r="L214" s="11"/>
      <c r="M214" s="11"/>
      <c r="N214" t="s" s="294">
        <v>109</v>
      </c>
      <c r="O214" s="380">
        <f>H93+I93</f>
        <v>31</v>
      </c>
      <c r="P214" s="380">
        <f>O93+P93</f>
        <v>34</v>
      </c>
      <c r="Q214" s="397">
        <v>4</v>
      </c>
      <c r="R214" s="11"/>
      <c r="S214" s="11"/>
      <c r="T214" s="11"/>
      <c r="U214" s="12"/>
    </row>
    <row r="215" ht="16" customHeight="1">
      <c r="A215" s="10"/>
      <c r="B215" s="11"/>
      <c r="C215" s="11"/>
      <c r="D215" s="11"/>
      <c r="E215" s="11"/>
      <c r="F215" s="11"/>
      <c r="G215" s="11"/>
      <c r="H215" s="11"/>
      <c r="I215" s="11"/>
      <c r="J215" s="11"/>
      <c r="K215" s="11"/>
      <c r="L215" s="11"/>
      <c r="M215" s="11"/>
      <c r="N215" t="s" s="294">
        <v>110</v>
      </c>
      <c r="O215" s="380">
        <f>H94+I94</f>
        <v>41</v>
      </c>
      <c r="P215" s="380">
        <f>O94+P94</f>
        <v>42</v>
      </c>
      <c r="Q215" s="397">
        <v>5</v>
      </c>
      <c r="R215" s="11"/>
      <c r="S215" s="11"/>
      <c r="T215" s="11"/>
      <c r="U215" s="12"/>
    </row>
    <row r="216" ht="16" customHeight="1">
      <c r="A216" s="10"/>
      <c r="B216" s="11"/>
      <c r="C216" s="11"/>
      <c r="D216" s="11"/>
      <c r="E216" s="11"/>
      <c r="F216" s="11"/>
      <c r="G216" s="11"/>
      <c r="H216" s="11"/>
      <c r="I216" s="11"/>
      <c r="J216" s="11"/>
      <c r="K216" s="11"/>
      <c r="L216" s="11"/>
      <c r="M216" s="11"/>
      <c r="N216" t="s" s="294">
        <v>111</v>
      </c>
      <c r="O216" s="380">
        <f>H95+I95</f>
        <v>50</v>
      </c>
      <c r="P216" s="380">
        <f>O95+P95</f>
        <v>52</v>
      </c>
      <c r="Q216" s="397">
        <v>6</v>
      </c>
      <c r="R216" s="11"/>
      <c r="S216" s="11"/>
      <c r="T216" s="11"/>
      <c r="U216" s="12"/>
    </row>
    <row r="217" ht="16" customHeight="1">
      <c r="A217" s="10"/>
      <c r="B217" s="11"/>
      <c r="C217" s="11"/>
      <c r="D217" s="11"/>
      <c r="E217" s="11"/>
      <c r="F217" s="11"/>
      <c r="G217" s="11"/>
      <c r="H217" s="11"/>
      <c r="I217" s="11"/>
      <c r="J217" s="11"/>
      <c r="K217" s="11"/>
      <c r="L217" s="11"/>
      <c r="M217" s="11"/>
      <c r="N217" t="s" s="294">
        <v>112</v>
      </c>
      <c r="O217" s="380">
        <f>H96+I96</f>
        <v>58</v>
      </c>
      <c r="P217" s="380">
        <f>O96+P96</f>
        <v>60</v>
      </c>
      <c r="Q217" s="397">
        <v>7</v>
      </c>
      <c r="R217" s="11"/>
      <c r="S217" s="11"/>
      <c r="T217" s="11"/>
      <c r="U217" s="12"/>
    </row>
    <row r="218" ht="16" customHeight="1">
      <c r="A218" s="10"/>
      <c r="B218" s="11"/>
      <c r="C218" s="11"/>
      <c r="D218" s="11"/>
      <c r="E218" s="11"/>
      <c r="F218" s="11"/>
      <c r="G218" s="11"/>
      <c r="H218" s="11"/>
      <c r="I218" s="11"/>
      <c r="J218" s="11"/>
      <c r="K218" s="11"/>
      <c r="L218" s="11"/>
      <c r="M218" s="11"/>
      <c r="N218" t="s" s="294">
        <v>113</v>
      </c>
      <c r="O218" s="380">
        <f>H97+I97</f>
        <v>54</v>
      </c>
      <c r="P218" s="380">
        <f>O97+P97</f>
        <v>54</v>
      </c>
      <c r="Q218" s="397">
        <v>8</v>
      </c>
      <c r="R218" s="11"/>
      <c r="S218" s="11"/>
      <c r="T218" s="11"/>
      <c r="U218" s="12"/>
    </row>
    <row r="219" ht="16" customHeight="1">
      <c r="A219" s="10"/>
      <c r="B219" s="11"/>
      <c r="C219" s="11"/>
      <c r="D219" s="11"/>
      <c r="E219" s="11"/>
      <c r="F219" s="11"/>
      <c r="G219" s="11"/>
      <c r="H219" s="11"/>
      <c r="I219" s="11"/>
      <c r="J219" s="11"/>
      <c r="K219" s="11"/>
      <c r="L219" s="11"/>
      <c r="M219" s="11"/>
      <c r="N219" t="s" s="294">
        <v>114</v>
      </c>
      <c r="O219" s="380">
        <f>H98+I98</f>
        <v>40</v>
      </c>
      <c r="P219" s="380">
        <f>O98+P98</f>
        <v>44</v>
      </c>
      <c r="Q219" s="397">
        <v>9</v>
      </c>
      <c r="R219" s="11"/>
      <c r="S219" s="11"/>
      <c r="T219" s="11"/>
      <c r="U219" s="12"/>
    </row>
    <row r="220" ht="16" customHeight="1">
      <c r="A220" s="10"/>
      <c r="B220" s="11"/>
      <c r="C220" s="11"/>
      <c r="D220" s="11"/>
      <c r="E220" s="11"/>
      <c r="F220" s="11"/>
      <c r="G220" s="11"/>
      <c r="H220" s="11"/>
      <c r="I220" s="11"/>
      <c r="J220" s="11"/>
      <c r="K220" s="11"/>
      <c r="L220" s="11"/>
      <c r="M220" s="11"/>
      <c r="N220" t="s" s="294">
        <v>115</v>
      </c>
      <c r="O220" s="380">
        <f>H99+I99</f>
        <v>42</v>
      </c>
      <c r="P220" s="380">
        <f>O99+P99</f>
        <v>46</v>
      </c>
      <c r="Q220" s="397">
        <v>10</v>
      </c>
      <c r="R220" s="11"/>
      <c r="S220" s="11"/>
      <c r="T220" s="11"/>
      <c r="U220" s="12"/>
    </row>
    <row r="221" ht="16" customHeight="1">
      <c r="A221" s="10"/>
      <c r="B221" s="11"/>
      <c r="C221" s="11"/>
      <c r="D221" s="11"/>
      <c r="E221" s="11"/>
      <c r="F221" s="11"/>
      <c r="G221" s="11"/>
      <c r="H221" s="11"/>
      <c r="I221" s="11"/>
      <c r="J221" s="11"/>
      <c r="K221" s="11"/>
      <c r="L221" s="11"/>
      <c r="M221" s="11"/>
      <c r="N221" t="s" s="294">
        <v>116</v>
      </c>
      <c r="O221" s="380">
        <f>H100+I100</f>
        <v>65</v>
      </c>
      <c r="P221" s="380">
        <f>O100+P100</f>
        <v>65</v>
      </c>
      <c r="Q221" s="397">
        <v>11</v>
      </c>
      <c r="R221" s="11"/>
      <c r="S221" s="11"/>
      <c r="T221" s="11"/>
      <c r="U221" s="12"/>
    </row>
    <row r="222" ht="16" customHeight="1">
      <c r="A222" s="10"/>
      <c r="B222" s="11"/>
      <c r="C222" s="11"/>
      <c r="D222" s="11"/>
      <c r="E222" s="11"/>
      <c r="F222" s="11"/>
      <c r="G222" s="11"/>
      <c r="H222" s="11"/>
      <c r="I222" s="11"/>
      <c r="J222" s="11"/>
      <c r="K222" s="11"/>
      <c r="L222" s="11"/>
      <c r="M222" s="11"/>
      <c r="N222" t="s" s="294">
        <v>117</v>
      </c>
      <c r="O222" s="380">
        <f>H101+I101</f>
        <v>74</v>
      </c>
      <c r="P222" s="380">
        <f>O101+P101</f>
        <v>75</v>
      </c>
      <c r="Q222" s="397">
        <v>12</v>
      </c>
      <c r="R222" s="11"/>
      <c r="S222" s="11"/>
      <c r="T222" s="11"/>
      <c r="U222" s="12"/>
    </row>
    <row r="223" ht="16" customHeight="1">
      <c r="A223" s="10"/>
      <c r="B223" s="11"/>
      <c r="C223" s="11"/>
      <c r="D223" s="11"/>
      <c r="E223" s="11"/>
      <c r="F223" s="11"/>
      <c r="G223" s="11"/>
      <c r="H223" s="11"/>
      <c r="I223" s="11"/>
      <c r="J223" s="11"/>
      <c r="K223" s="11"/>
      <c r="L223" s="11"/>
      <c r="M223" s="11"/>
      <c r="N223" t="s" s="294">
        <v>118</v>
      </c>
      <c r="O223" s="380">
        <f>H102+I102</f>
        <v>93</v>
      </c>
      <c r="P223" s="380">
        <f>O102+P102</f>
        <v>94</v>
      </c>
      <c r="Q223" s="397">
        <v>13</v>
      </c>
      <c r="R223" s="11"/>
      <c r="S223" s="11"/>
      <c r="T223" s="11"/>
      <c r="U223" s="12"/>
    </row>
    <row r="224" ht="16" customHeight="1">
      <c r="A224" s="10"/>
      <c r="B224" s="11"/>
      <c r="C224" s="11"/>
      <c r="D224" s="11"/>
      <c r="E224" s="11"/>
      <c r="F224" s="11"/>
      <c r="G224" s="11"/>
      <c r="H224" s="11"/>
      <c r="I224" s="11"/>
      <c r="J224" s="11"/>
      <c r="K224" s="11"/>
      <c r="L224" s="11"/>
      <c r="M224" s="11"/>
      <c r="N224" t="s" s="294">
        <v>119</v>
      </c>
      <c r="O224" s="380">
        <f>H103+I103</f>
        <v>143</v>
      </c>
      <c r="P224" s="380">
        <f>O103+P103</f>
        <v>143</v>
      </c>
      <c r="Q224" s="397">
        <v>14</v>
      </c>
      <c r="R224" s="11"/>
      <c r="S224" s="11"/>
      <c r="T224" s="11"/>
      <c r="U224" s="12"/>
    </row>
    <row r="225" ht="16" customHeight="1">
      <c r="A225" s="10"/>
      <c r="B225" s="11"/>
      <c r="C225" s="11"/>
      <c r="D225" s="11"/>
      <c r="E225" s="11"/>
      <c r="F225" s="11"/>
      <c r="G225" s="11"/>
      <c r="H225" s="11"/>
      <c r="I225" s="11"/>
      <c r="J225" s="11"/>
      <c r="K225" s="11"/>
      <c r="L225" s="11"/>
      <c r="M225" s="11"/>
      <c r="N225" t="s" s="294">
        <v>120</v>
      </c>
      <c r="O225" s="380">
        <f>H104+I104</f>
        <v>115</v>
      </c>
      <c r="P225" s="380">
        <f>O104+P104</f>
        <v>115</v>
      </c>
      <c r="Q225" s="397">
        <v>15</v>
      </c>
      <c r="R225" s="11"/>
      <c r="S225" s="11"/>
      <c r="T225" s="11"/>
      <c r="U225" s="12"/>
    </row>
    <row r="226" ht="16" customHeight="1">
      <c r="A226" s="10"/>
      <c r="B226" s="11"/>
      <c r="C226" s="11"/>
      <c r="D226" s="11"/>
      <c r="E226" s="11"/>
      <c r="F226" s="11"/>
      <c r="G226" s="11"/>
      <c r="H226" s="11"/>
      <c r="I226" s="11"/>
      <c r="J226" s="11"/>
      <c r="K226" s="11"/>
      <c r="L226" s="11"/>
      <c r="M226" s="11"/>
      <c r="N226" t="s" s="294">
        <v>121</v>
      </c>
      <c r="O226" s="380">
        <f>H105+I105</f>
        <v>132</v>
      </c>
      <c r="P226" s="380">
        <f>O105+P105</f>
        <v>132</v>
      </c>
      <c r="Q226" s="397">
        <v>16</v>
      </c>
      <c r="R226" s="11"/>
      <c r="S226" s="11"/>
      <c r="T226" s="11"/>
      <c r="U226" s="12"/>
    </row>
    <row r="227" ht="16" customHeight="1">
      <c r="A227" s="10"/>
      <c r="B227" s="11"/>
      <c r="C227" s="11"/>
      <c r="D227" s="11"/>
      <c r="E227" s="11"/>
      <c r="F227" s="11"/>
      <c r="G227" s="11"/>
      <c r="H227" s="11"/>
      <c r="I227" s="11"/>
      <c r="J227" s="11"/>
      <c r="K227" s="11"/>
      <c r="L227" s="11"/>
      <c r="M227" s="11"/>
      <c r="N227" t="s" s="294">
        <v>228</v>
      </c>
      <c r="O227" s="380">
        <f>H106+I106</f>
        <v>173</v>
      </c>
      <c r="P227" s="380">
        <f>O106+P106</f>
        <v>173</v>
      </c>
      <c r="Q227" s="397">
        <v>17</v>
      </c>
      <c r="R227" s="11"/>
      <c r="S227" s="11"/>
      <c r="T227" s="11"/>
      <c r="U227" s="12"/>
    </row>
    <row r="228" ht="16" customHeight="1">
      <c r="A228" s="10"/>
      <c r="B228" s="11"/>
      <c r="C228" s="11"/>
      <c r="D228" s="11"/>
      <c r="E228" s="11"/>
      <c r="F228" s="11"/>
      <c r="G228" s="11"/>
      <c r="H228" s="11"/>
      <c r="I228" s="11"/>
      <c r="J228" s="11"/>
      <c r="K228" s="11"/>
      <c r="L228" s="11"/>
      <c r="M228" s="11"/>
      <c r="N228" t="s" s="294">
        <v>229</v>
      </c>
      <c r="O228" s="380">
        <f>H107+I107</f>
        <v>260</v>
      </c>
      <c r="P228" s="380">
        <f>O107+P107</f>
        <v>260</v>
      </c>
      <c r="Q228" s="397">
        <v>18</v>
      </c>
      <c r="R228" s="11"/>
      <c r="S228" s="11"/>
      <c r="T228" s="11"/>
      <c r="U228" s="12"/>
    </row>
    <row r="229" ht="16" customHeight="1">
      <c r="A229" s="10"/>
      <c r="B229" s="11"/>
      <c r="C229" s="11"/>
      <c r="D229" s="11"/>
      <c r="E229" s="11"/>
      <c r="F229" s="11"/>
      <c r="G229" s="11"/>
      <c r="H229" s="11"/>
      <c r="I229" s="11"/>
      <c r="J229" s="11"/>
      <c r="K229" s="11"/>
      <c r="L229" s="11"/>
      <c r="M229" s="11"/>
      <c r="N229" t="s" s="294">
        <v>230</v>
      </c>
      <c r="O229" s="380">
        <f>H108+I108</f>
        <v>254</v>
      </c>
      <c r="P229" s="380">
        <f>O108+P108</f>
        <v>254</v>
      </c>
      <c r="Q229" s="397">
        <v>19</v>
      </c>
      <c r="R229" s="11"/>
      <c r="S229" s="11"/>
      <c r="T229" s="11"/>
      <c r="U229" s="12"/>
    </row>
    <row r="230" ht="16" customHeight="1">
      <c r="A230" s="10"/>
      <c r="B230" s="11"/>
      <c r="C230" s="11"/>
      <c r="D230" s="11"/>
      <c r="E230" s="11"/>
      <c r="F230" s="11"/>
      <c r="G230" s="11"/>
      <c r="H230" s="11"/>
      <c r="I230" s="11"/>
      <c r="J230" s="11"/>
      <c r="K230" s="11"/>
      <c r="L230" s="11"/>
      <c r="M230" s="11"/>
      <c r="N230" t="s" s="294">
        <v>231</v>
      </c>
      <c r="O230" s="380">
        <f>H109+I109</f>
        <v>252</v>
      </c>
      <c r="P230" s="380">
        <f>O109+P109</f>
        <v>252</v>
      </c>
      <c r="Q230" s="397">
        <v>20</v>
      </c>
      <c r="R230" s="11"/>
      <c r="S230" s="11"/>
      <c r="T230" s="11"/>
      <c r="U230" s="12"/>
    </row>
    <row r="231" ht="16" customHeight="1">
      <c r="A231" s="10"/>
      <c r="B231" s="11"/>
      <c r="C231" s="11"/>
      <c r="D231" s="11"/>
      <c r="E231" s="11"/>
      <c r="F231" s="11"/>
      <c r="G231" s="11"/>
      <c r="H231" s="11"/>
      <c r="I231" s="11"/>
      <c r="J231" s="11"/>
      <c r="K231" s="11"/>
      <c r="L231" s="11"/>
      <c r="M231" s="11"/>
      <c r="N231" t="s" s="294">
        <v>232</v>
      </c>
      <c r="O231" s="380">
        <f>H110+I110</f>
        <v>146</v>
      </c>
      <c r="P231" s="380">
        <f>O110+P110</f>
        <v>146</v>
      </c>
      <c r="Q231" s="397">
        <v>21</v>
      </c>
      <c r="R231" s="11"/>
      <c r="S231" s="11"/>
      <c r="T231" s="11"/>
      <c r="U231" s="12"/>
    </row>
    <row r="232" ht="16" customHeight="1">
      <c r="A232" s="10"/>
      <c r="B232" s="11"/>
      <c r="C232" s="11"/>
      <c r="D232" s="11"/>
      <c r="E232" s="11"/>
      <c r="F232" s="11"/>
      <c r="G232" s="11"/>
      <c r="H232" s="11"/>
      <c r="I232" s="11"/>
      <c r="J232" s="11"/>
      <c r="K232" s="11"/>
      <c r="L232" s="11"/>
      <c r="M232" s="11"/>
      <c r="N232" t="s" s="294">
        <v>233</v>
      </c>
      <c r="O232" s="380">
        <f>H111+I111</f>
        <v>83</v>
      </c>
      <c r="P232" s="380">
        <f>O111+P111</f>
        <v>83</v>
      </c>
      <c r="Q232" s="397">
        <v>22</v>
      </c>
      <c r="R232" s="11"/>
      <c r="S232" s="11"/>
      <c r="T232" s="11"/>
      <c r="U232" s="12"/>
    </row>
    <row r="233" ht="16" customHeight="1">
      <c r="A233" s="10"/>
      <c r="B233" s="11"/>
      <c r="C233" s="11"/>
      <c r="D233" s="11"/>
      <c r="E233" s="11"/>
      <c r="F233" s="11"/>
      <c r="G233" s="11"/>
      <c r="H233" s="11"/>
      <c r="I233" s="11"/>
      <c r="J233" s="11"/>
      <c r="K233" s="11"/>
      <c r="L233" s="11"/>
      <c r="M233" s="11"/>
      <c r="N233" t="s" s="294">
        <v>234</v>
      </c>
      <c r="O233" s="380">
        <f>H112+I112</f>
        <v>19</v>
      </c>
      <c r="P233" s="380">
        <f>O112+P112</f>
        <v>19</v>
      </c>
      <c r="Q233" s="397">
        <v>23</v>
      </c>
      <c r="R233" s="11"/>
      <c r="S233" s="11"/>
      <c r="T233" s="11"/>
      <c r="U233" s="12"/>
    </row>
    <row r="234" ht="16" customHeight="1">
      <c r="A234" s="10"/>
      <c r="B234" s="11"/>
      <c r="C234" s="11"/>
      <c r="D234" s="11"/>
      <c r="E234" s="11"/>
      <c r="F234" s="11"/>
      <c r="G234" s="11"/>
      <c r="H234" s="11"/>
      <c r="I234" s="11"/>
      <c r="J234" s="11"/>
      <c r="K234" s="11"/>
      <c r="L234" s="11"/>
      <c r="M234" s="11"/>
      <c r="N234" t="s" s="294">
        <v>235</v>
      </c>
      <c r="O234" s="380">
        <f>H113+I113</f>
        <v>1</v>
      </c>
      <c r="P234" s="380">
        <f>O113+P113</f>
        <v>1</v>
      </c>
      <c r="Q234" s="397">
        <v>24</v>
      </c>
      <c r="R234" s="11"/>
      <c r="S234" s="11"/>
      <c r="T234" s="11"/>
      <c r="U234" s="12"/>
    </row>
    <row r="235" ht="16" customHeight="1">
      <c r="A235" s="10"/>
      <c r="B235" s="11"/>
      <c r="C235" s="11"/>
      <c r="D235" s="11"/>
      <c r="E235" s="11"/>
      <c r="F235" s="11"/>
      <c r="G235" s="11"/>
      <c r="H235" s="11"/>
      <c r="I235" s="11"/>
      <c r="J235" s="11"/>
      <c r="K235" s="11"/>
      <c r="L235" s="11"/>
      <c r="M235" s="11"/>
      <c r="N235" s="11"/>
      <c r="O235" s="387"/>
      <c r="P235" s="387"/>
      <c r="Q235" s="11"/>
      <c r="R235" s="11"/>
      <c r="S235" s="11"/>
      <c r="T235" s="11"/>
      <c r="U235" s="12"/>
    </row>
    <row r="236" ht="16" customHeight="1">
      <c r="A236" s="10"/>
      <c r="B236" s="11"/>
      <c r="C236" s="11"/>
      <c r="D236" s="11"/>
      <c r="E236" s="11"/>
      <c r="F236" s="11"/>
      <c r="G236" s="11"/>
      <c r="H236" s="11"/>
      <c r="I236" s="11"/>
      <c r="J236" s="11"/>
      <c r="K236" s="11"/>
      <c r="L236" s="11"/>
      <c r="M236" s="11"/>
      <c r="N236" t="s" s="294">
        <v>337</v>
      </c>
      <c r="O236" s="394">
        <f>O139</f>
        <v>2040</v>
      </c>
      <c r="P236" s="395"/>
      <c r="Q236" t="s" s="245">
        <v>333</v>
      </c>
      <c r="R236" s="11"/>
      <c r="S236" s="11"/>
      <c r="T236" s="11"/>
      <c r="U236" s="12"/>
    </row>
    <row r="237" ht="16" customHeight="1">
      <c r="A237" s="10"/>
      <c r="B237" s="11"/>
      <c r="C237" s="11"/>
      <c r="D237" s="11"/>
      <c r="E237" s="11"/>
      <c r="F237" s="11"/>
      <c r="G237" s="11"/>
      <c r="H237" s="11"/>
      <c r="I237" s="11"/>
      <c r="J237" s="11"/>
      <c r="K237" s="11"/>
      <c r="L237" s="11"/>
      <c r="M237" s="11"/>
      <c r="N237" t="s" s="294">
        <v>334</v>
      </c>
      <c r="O237" t="s" s="400">
        <v>338</v>
      </c>
      <c r="P237" t="s" s="400">
        <v>339</v>
      </c>
      <c r="Q237" s="130"/>
      <c r="R237" s="11"/>
      <c r="S237" s="11"/>
      <c r="T237" s="11"/>
      <c r="U237" s="12"/>
    </row>
    <row r="238" ht="16" customHeight="1">
      <c r="A238" s="10"/>
      <c r="B238" s="11"/>
      <c r="C238" s="11"/>
      <c r="D238" s="11"/>
      <c r="E238" s="11"/>
      <c r="F238" s="11"/>
      <c r="G238" s="11"/>
      <c r="H238" s="11"/>
      <c r="I238" s="11"/>
      <c r="J238" s="11"/>
      <c r="K238" s="11"/>
      <c r="L238" s="11"/>
      <c r="M238" s="11"/>
      <c r="N238" t="s" s="294">
        <v>109</v>
      </c>
      <c r="O238" s="380">
        <f>H141+I141</f>
        <v>20</v>
      </c>
      <c r="P238" s="380">
        <f>O141+P141</f>
        <v>24</v>
      </c>
      <c r="Q238" s="397">
        <v>4</v>
      </c>
      <c r="R238" s="11"/>
      <c r="S238" s="11"/>
      <c r="T238" s="11"/>
      <c r="U238" s="12"/>
    </row>
    <row r="239" ht="16" customHeight="1">
      <c r="A239" s="10"/>
      <c r="B239" s="11"/>
      <c r="C239" s="11"/>
      <c r="D239" s="11"/>
      <c r="E239" s="11"/>
      <c r="F239" s="11"/>
      <c r="G239" s="11"/>
      <c r="H239" s="11"/>
      <c r="I239" s="11"/>
      <c r="J239" s="11"/>
      <c r="K239" s="11"/>
      <c r="L239" s="11"/>
      <c r="M239" s="11"/>
      <c r="N239" t="s" s="294">
        <v>110</v>
      </c>
      <c r="O239" s="380">
        <f>H142+I142</f>
        <v>24</v>
      </c>
      <c r="P239" s="380">
        <f>O142+P142</f>
        <v>27</v>
      </c>
      <c r="Q239" s="397">
        <v>5</v>
      </c>
      <c r="R239" s="11"/>
      <c r="S239" s="11"/>
      <c r="T239" s="11"/>
      <c r="U239" s="12"/>
    </row>
    <row r="240" ht="16" customHeight="1">
      <c r="A240" s="10"/>
      <c r="B240" s="11"/>
      <c r="C240" s="11"/>
      <c r="D240" s="11"/>
      <c r="E240" s="11"/>
      <c r="F240" s="11"/>
      <c r="G240" s="11"/>
      <c r="H240" s="11"/>
      <c r="I240" s="11"/>
      <c r="J240" s="11"/>
      <c r="K240" s="11"/>
      <c r="L240" s="11"/>
      <c r="M240" s="11"/>
      <c r="N240" t="s" s="294">
        <v>111</v>
      </c>
      <c r="O240" s="380">
        <f>H143+I143</f>
        <v>29</v>
      </c>
      <c r="P240" s="380">
        <f>O143+P143</f>
        <v>34</v>
      </c>
      <c r="Q240" s="397">
        <v>6</v>
      </c>
      <c r="R240" s="11"/>
      <c r="S240" s="11"/>
      <c r="T240" s="11"/>
      <c r="U240" s="12"/>
    </row>
    <row r="241" ht="16" customHeight="1">
      <c r="A241" s="10"/>
      <c r="B241" s="11"/>
      <c r="C241" s="11"/>
      <c r="D241" s="11"/>
      <c r="E241" s="11"/>
      <c r="F241" s="11"/>
      <c r="G241" s="11"/>
      <c r="H241" s="11"/>
      <c r="I241" s="11"/>
      <c r="J241" s="11"/>
      <c r="K241" s="11"/>
      <c r="L241" s="11"/>
      <c r="M241" s="11"/>
      <c r="N241" t="s" s="294">
        <v>112</v>
      </c>
      <c r="O241" s="380">
        <f>H144+I144</f>
        <v>32</v>
      </c>
      <c r="P241" s="380">
        <f>O144+P144</f>
        <v>36</v>
      </c>
      <c r="Q241" s="397">
        <v>7</v>
      </c>
      <c r="R241" s="11"/>
      <c r="S241" s="11"/>
      <c r="T241" s="11"/>
      <c r="U241" s="12"/>
    </row>
    <row r="242" ht="16" customHeight="1">
      <c r="A242" s="10"/>
      <c r="B242" s="11"/>
      <c r="C242" s="11"/>
      <c r="D242" s="11"/>
      <c r="E242" s="11"/>
      <c r="F242" s="11"/>
      <c r="G242" s="11"/>
      <c r="H242" s="11"/>
      <c r="I242" s="11"/>
      <c r="J242" s="11"/>
      <c r="K242" s="11"/>
      <c r="L242" s="11"/>
      <c r="M242" s="11"/>
      <c r="N242" t="s" s="294">
        <v>113</v>
      </c>
      <c r="O242" s="380">
        <f>H145+I145</f>
        <v>33</v>
      </c>
      <c r="P242" s="380">
        <f>O145+P145</f>
        <v>34</v>
      </c>
      <c r="Q242" s="397">
        <v>8</v>
      </c>
      <c r="R242" s="11"/>
      <c r="S242" s="11"/>
      <c r="T242" s="11"/>
      <c r="U242" s="12"/>
    </row>
    <row r="243" ht="16" customHeight="1">
      <c r="A243" s="10"/>
      <c r="B243" s="11"/>
      <c r="C243" s="11"/>
      <c r="D243" s="11"/>
      <c r="E243" s="11"/>
      <c r="F243" s="11"/>
      <c r="G243" s="11"/>
      <c r="H243" s="11"/>
      <c r="I243" s="11"/>
      <c r="J243" s="11"/>
      <c r="K243" s="11"/>
      <c r="L243" s="11"/>
      <c r="M243" s="11"/>
      <c r="N243" t="s" s="294">
        <v>114</v>
      </c>
      <c r="O243" s="380">
        <f>H146+I146</f>
        <v>28</v>
      </c>
      <c r="P243" s="380">
        <f>O146+P146</f>
        <v>33</v>
      </c>
      <c r="Q243" s="397">
        <v>9</v>
      </c>
      <c r="R243" s="11"/>
      <c r="S243" s="11"/>
      <c r="T243" s="11"/>
      <c r="U243" s="12"/>
    </row>
    <row r="244" ht="16" customHeight="1">
      <c r="A244" s="10"/>
      <c r="B244" s="11"/>
      <c r="C244" s="11"/>
      <c r="D244" s="11"/>
      <c r="E244" s="11"/>
      <c r="F244" s="11"/>
      <c r="G244" s="11"/>
      <c r="H244" s="11"/>
      <c r="I244" s="11"/>
      <c r="J244" s="11"/>
      <c r="K244" s="11"/>
      <c r="L244" s="11"/>
      <c r="M244" s="11"/>
      <c r="N244" t="s" s="294">
        <v>115</v>
      </c>
      <c r="O244" s="380">
        <f>H147+I147</f>
        <v>32</v>
      </c>
      <c r="P244" s="380">
        <f>O147+P147</f>
        <v>35</v>
      </c>
      <c r="Q244" s="397">
        <v>10</v>
      </c>
      <c r="R244" s="11"/>
      <c r="S244" s="11"/>
      <c r="T244" s="11"/>
      <c r="U244" s="12"/>
    </row>
    <row r="245" ht="16" customHeight="1">
      <c r="A245" s="10"/>
      <c r="B245" s="11"/>
      <c r="C245" s="11"/>
      <c r="D245" s="11"/>
      <c r="E245" s="11"/>
      <c r="F245" s="11"/>
      <c r="G245" s="11"/>
      <c r="H245" s="11"/>
      <c r="I245" s="11"/>
      <c r="J245" s="11"/>
      <c r="K245" s="11"/>
      <c r="L245" s="11"/>
      <c r="M245" s="11"/>
      <c r="N245" t="s" s="294">
        <v>116</v>
      </c>
      <c r="O245" s="380">
        <f>H148+I148</f>
        <v>33</v>
      </c>
      <c r="P245" s="380">
        <f>O148+P148</f>
        <v>37</v>
      </c>
      <c r="Q245" s="397">
        <v>11</v>
      </c>
      <c r="R245" s="11"/>
      <c r="S245" s="11"/>
      <c r="T245" s="11"/>
      <c r="U245" s="12"/>
    </row>
    <row r="246" ht="16" customHeight="1">
      <c r="A246" s="10"/>
      <c r="B246" s="11"/>
      <c r="C246" s="11"/>
      <c r="D246" s="11"/>
      <c r="E246" s="11"/>
      <c r="F246" s="11"/>
      <c r="G246" s="11"/>
      <c r="H246" s="11"/>
      <c r="I246" s="11"/>
      <c r="J246" s="11"/>
      <c r="K246" s="11"/>
      <c r="L246" s="11"/>
      <c r="M246" s="11"/>
      <c r="N246" t="s" s="294">
        <v>117</v>
      </c>
      <c r="O246" s="380">
        <f>H149+I149</f>
        <v>36</v>
      </c>
      <c r="P246" s="380">
        <f>O149+P149</f>
        <v>40</v>
      </c>
      <c r="Q246" s="397">
        <v>12</v>
      </c>
      <c r="R246" s="11"/>
      <c r="S246" s="11"/>
      <c r="T246" s="11"/>
      <c r="U246" s="12"/>
    </row>
    <row r="247" ht="16" customHeight="1">
      <c r="A247" s="10"/>
      <c r="B247" s="11"/>
      <c r="C247" s="11"/>
      <c r="D247" s="11"/>
      <c r="E247" s="11"/>
      <c r="F247" s="11"/>
      <c r="G247" s="11"/>
      <c r="H247" s="11"/>
      <c r="I247" s="11"/>
      <c r="J247" s="11"/>
      <c r="K247" s="11"/>
      <c r="L247" s="11"/>
      <c r="M247" s="11"/>
      <c r="N247" t="s" s="294">
        <v>118</v>
      </c>
      <c r="O247" s="380">
        <f>H150+I150</f>
        <v>57</v>
      </c>
      <c r="P247" s="380">
        <f>O150+P150</f>
        <v>58</v>
      </c>
      <c r="Q247" s="397">
        <v>13</v>
      </c>
      <c r="R247" s="11"/>
      <c r="S247" s="11"/>
      <c r="T247" s="11"/>
      <c r="U247" s="12"/>
    </row>
    <row r="248" ht="16" customHeight="1">
      <c r="A248" s="10"/>
      <c r="B248" s="11"/>
      <c r="C248" s="11"/>
      <c r="D248" s="11"/>
      <c r="E248" s="11"/>
      <c r="F248" s="11"/>
      <c r="G248" s="11"/>
      <c r="H248" s="11"/>
      <c r="I248" s="11"/>
      <c r="J248" s="11"/>
      <c r="K248" s="11"/>
      <c r="L248" s="11"/>
      <c r="M248" s="11"/>
      <c r="N248" t="s" s="294">
        <v>119</v>
      </c>
      <c r="O248" s="380">
        <f>H151+I151</f>
        <v>70</v>
      </c>
      <c r="P248" s="380">
        <f>O151+P151</f>
        <v>71</v>
      </c>
      <c r="Q248" s="397">
        <v>14</v>
      </c>
      <c r="R248" s="11"/>
      <c r="S248" s="11"/>
      <c r="T248" s="11"/>
      <c r="U248" s="12"/>
    </row>
    <row r="249" ht="16" customHeight="1">
      <c r="A249" s="10"/>
      <c r="B249" s="11"/>
      <c r="C249" s="11"/>
      <c r="D249" s="11"/>
      <c r="E249" s="11"/>
      <c r="F249" s="11"/>
      <c r="G249" s="11"/>
      <c r="H249" s="11"/>
      <c r="I249" s="11"/>
      <c r="J249" s="11"/>
      <c r="K249" s="11"/>
      <c r="L249" s="11"/>
      <c r="M249" s="11"/>
      <c r="N249" t="s" s="294">
        <v>120</v>
      </c>
      <c r="O249" s="380">
        <f>H152+I152</f>
        <v>90</v>
      </c>
      <c r="P249" s="380">
        <f>O152+P152</f>
        <v>90</v>
      </c>
      <c r="Q249" s="397">
        <v>15</v>
      </c>
      <c r="R249" s="11"/>
      <c r="S249" s="11"/>
      <c r="T249" s="11"/>
      <c r="U249" s="12"/>
    </row>
    <row r="250" ht="16" customHeight="1">
      <c r="A250" s="10"/>
      <c r="B250" s="11"/>
      <c r="C250" s="11"/>
      <c r="D250" s="11"/>
      <c r="E250" s="11"/>
      <c r="F250" s="11"/>
      <c r="G250" s="11"/>
      <c r="H250" s="11"/>
      <c r="I250" s="11"/>
      <c r="J250" s="11"/>
      <c r="K250" s="11"/>
      <c r="L250" s="11"/>
      <c r="M250" s="11"/>
      <c r="N250" t="s" s="294">
        <v>121</v>
      </c>
      <c r="O250" s="380">
        <f>H153+I153</f>
        <v>139</v>
      </c>
      <c r="P250" s="380">
        <f>O153+P153</f>
        <v>139</v>
      </c>
      <c r="Q250" s="397">
        <v>16</v>
      </c>
      <c r="R250" s="11"/>
      <c r="S250" s="11"/>
      <c r="T250" s="11"/>
      <c r="U250" s="12"/>
    </row>
    <row r="251" ht="16" customHeight="1">
      <c r="A251" s="10"/>
      <c r="B251" s="11"/>
      <c r="C251" s="11"/>
      <c r="D251" s="11"/>
      <c r="E251" s="11"/>
      <c r="F251" s="11"/>
      <c r="G251" s="11"/>
      <c r="H251" s="11"/>
      <c r="I251" s="11"/>
      <c r="J251" s="11"/>
      <c r="K251" s="11"/>
      <c r="L251" s="11"/>
      <c r="M251" s="11"/>
      <c r="N251" t="s" s="294">
        <v>228</v>
      </c>
      <c r="O251" s="380">
        <f>H154+I154</f>
        <v>109</v>
      </c>
      <c r="P251" s="380">
        <f>O154+P154</f>
        <v>109</v>
      </c>
      <c r="Q251" s="397">
        <v>17</v>
      </c>
      <c r="R251" s="11"/>
      <c r="S251" s="11"/>
      <c r="T251" s="11"/>
      <c r="U251" s="12"/>
    </row>
    <row r="252" ht="16" customHeight="1">
      <c r="A252" s="10"/>
      <c r="B252" s="11"/>
      <c r="C252" s="11"/>
      <c r="D252" s="11"/>
      <c r="E252" s="11"/>
      <c r="F252" s="11"/>
      <c r="G252" s="11"/>
      <c r="H252" s="11"/>
      <c r="I252" s="11"/>
      <c r="J252" s="11"/>
      <c r="K252" s="11"/>
      <c r="L252" s="11"/>
      <c r="M252" s="11"/>
      <c r="N252" t="s" s="294">
        <v>229</v>
      </c>
      <c r="O252" s="380">
        <f>H155+I155</f>
        <v>118</v>
      </c>
      <c r="P252" s="380">
        <f>O155+P155</f>
        <v>118</v>
      </c>
      <c r="Q252" s="397">
        <v>18</v>
      </c>
      <c r="R252" s="11"/>
      <c r="S252" s="11"/>
      <c r="T252" s="11"/>
      <c r="U252" s="12"/>
    </row>
    <row r="253" ht="16" customHeight="1">
      <c r="A253" s="10"/>
      <c r="B253" s="11"/>
      <c r="C253" s="11"/>
      <c r="D253" s="11"/>
      <c r="E253" s="11"/>
      <c r="F253" s="11"/>
      <c r="G253" s="11"/>
      <c r="H253" s="11"/>
      <c r="I253" s="11"/>
      <c r="J253" s="11"/>
      <c r="K253" s="11"/>
      <c r="L253" s="11"/>
      <c r="M253" s="11"/>
      <c r="N253" t="s" s="294">
        <v>230</v>
      </c>
      <c r="O253" s="380">
        <f>H156+I156</f>
        <v>142</v>
      </c>
      <c r="P253" s="380">
        <f>O156+P156</f>
        <v>142</v>
      </c>
      <c r="Q253" s="397">
        <v>19</v>
      </c>
      <c r="R253" s="11"/>
      <c r="S253" s="11"/>
      <c r="T253" s="11"/>
      <c r="U253" s="12"/>
    </row>
    <row r="254" ht="16" customHeight="1">
      <c r="A254" s="10"/>
      <c r="B254" s="11"/>
      <c r="C254" s="11"/>
      <c r="D254" s="11"/>
      <c r="E254" s="11"/>
      <c r="F254" s="11"/>
      <c r="G254" s="11"/>
      <c r="H254" s="11"/>
      <c r="I254" s="11"/>
      <c r="J254" s="11"/>
      <c r="K254" s="11"/>
      <c r="L254" s="11"/>
      <c r="M254" s="11"/>
      <c r="N254" t="s" s="294">
        <v>231</v>
      </c>
      <c r="O254" s="380">
        <f>H157+I157</f>
        <v>182</v>
      </c>
      <c r="P254" s="380">
        <f>O157+P157</f>
        <v>182</v>
      </c>
      <c r="Q254" s="397">
        <v>20</v>
      </c>
      <c r="R254" s="11"/>
      <c r="S254" s="11"/>
      <c r="T254" s="11"/>
      <c r="U254" s="12"/>
    </row>
    <row r="255" ht="16" customHeight="1">
      <c r="A255" s="10"/>
      <c r="B255" s="11"/>
      <c r="C255" s="11"/>
      <c r="D255" s="11"/>
      <c r="E255" s="11"/>
      <c r="F255" s="11"/>
      <c r="G255" s="11"/>
      <c r="H255" s="11"/>
      <c r="I255" s="11"/>
      <c r="J255" s="11"/>
      <c r="K255" s="11"/>
      <c r="L255" s="11"/>
      <c r="M255" s="11"/>
      <c r="N255" t="s" s="294">
        <v>232</v>
      </c>
      <c r="O255" s="380">
        <f>H158+I158</f>
        <v>138</v>
      </c>
      <c r="P255" s="380">
        <f>O158+P158</f>
        <v>138</v>
      </c>
      <c r="Q255" s="397">
        <v>21</v>
      </c>
      <c r="R255" s="11"/>
      <c r="S255" s="11"/>
      <c r="T255" s="11"/>
      <c r="U255" s="12"/>
    </row>
    <row r="256" ht="16" customHeight="1">
      <c r="A256" s="10"/>
      <c r="B256" s="11"/>
      <c r="C256" s="11"/>
      <c r="D256" s="11"/>
      <c r="E256" s="11"/>
      <c r="F256" s="11"/>
      <c r="G256" s="11"/>
      <c r="H256" s="11"/>
      <c r="I256" s="11"/>
      <c r="J256" s="11"/>
      <c r="K256" s="11"/>
      <c r="L256" s="11"/>
      <c r="M256" s="11"/>
      <c r="N256" t="s" s="294">
        <v>233</v>
      </c>
      <c r="O256" s="380">
        <f>H159+I159</f>
        <v>77</v>
      </c>
      <c r="P256" s="380">
        <f>O159+P159</f>
        <v>77</v>
      </c>
      <c r="Q256" s="397">
        <v>22</v>
      </c>
      <c r="R256" s="11"/>
      <c r="S256" s="11"/>
      <c r="T256" s="11"/>
      <c r="U256" s="12"/>
    </row>
    <row r="257" ht="16" customHeight="1">
      <c r="A257" s="10"/>
      <c r="B257" s="11"/>
      <c r="C257" s="11"/>
      <c r="D257" s="11"/>
      <c r="E257" s="11"/>
      <c r="F257" s="11"/>
      <c r="G257" s="11"/>
      <c r="H257" s="11"/>
      <c r="I257" s="11"/>
      <c r="J257" s="11"/>
      <c r="K257" s="11"/>
      <c r="L257" s="11"/>
      <c r="M257" s="11"/>
      <c r="N257" t="s" s="294">
        <v>234</v>
      </c>
      <c r="O257" s="380">
        <f>H160+I160</f>
        <v>14</v>
      </c>
      <c r="P257" s="380">
        <f>O160+P160</f>
        <v>14</v>
      </c>
      <c r="Q257" s="397">
        <v>23</v>
      </c>
      <c r="R257" s="11"/>
      <c r="S257" s="11"/>
      <c r="T257" s="11"/>
      <c r="U257" s="12"/>
    </row>
    <row r="258" ht="16" customHeight="1">
      <c r="A258" s="80"/>
      <c r="B258" s="81"/>
      <c r="C258" s="81"/>
      <c r="D258" s="81"/>
      <c r="E258" s="81"/>
      <c r="F258" s="81"/>
      <c r="G258" s="81"/>
      <c r="H258" s="81"/>
      <c r="I258" s="81"/>
      <c r="J258" s="81"/>
      <c r="K258" s="81"/>
      <c r="L258" s="81"/>
      <c r="M258" s="81"/>
      <c r="N258" t="s" s="401">
        <v>235</v>
      </c>
      <c r="O258" s="380">
        <f>H161+I161</f>
        <v>1</v>
      </c>
      <c r="P258" s="380">
        <f>O161+P161</f>
        <v>1</v>
      </c>
      <c r="Q258" s="402">
        <v>24</v>
      </c>
      <c r="R258" s="81"/>
      <c r="S258" s="81"/>
      <c r="T258" s="81"/>
      <c r="U258" s="82"/>
    </row>
  </sheetData>
  <mergeCells count="17">
    <mergeCell ref="H163:I163"/>
    <mergeCell ref="H187:I187"/>
    <mergeCell ref="O236:P236"/>
    <mergeCell ref="B39:C39"/>
    <mergeCell ref="H91:I91"/>
    <mergeCell ref="O67:P67"/>
    <mergeCell ref="O91:P91"/>
    <mergeCell ref="O212:P212"/>
    <mergeCell ref="H67:I67"/>
    <mergeCell ref="B63:C63"/>
    <mergeCell ref="B87:C87"/>
    <mergeCell ref="H115:I115"/>
    <mergeCell ref="H139:I139"/>
    <mergeCell ref="O115:P115"/>
    <mergeCell ref="O139:P139"/>
    <mergeCell ref="O163:P163"/>
    <mergeCell ref="O187:P187"/>
  </mergeCells>
  <conditionalFormatting sqref="C4:F6 I4:K9 P4:R9 S7:U9 C10:E11 I10:K11 P10:U10 P11 C12:E12 I13:K19 C14:E16 P14:Q20 C20:E22 I20:K28 P22:Q28 C24:E26 I31:K40 P32:Q38 P40:Q46 B41:C53 I41:K46 I49:K49 L53:M53 B54:C61 I57:K57 B65:C69 H69:I69 K69 O69:P69 U69 B70:C70 H70:I70 K70 O70:P70 U70 B71:C71 H71:I71 K71 O71:P71 U71 B72:C72 H72:I72 K72 O72:P72 U72 B73:C73 H73:I73 K73 O73:P73 U73 B74:C74 H74:I74 K74 O74:P74 U74 B75:C75 H75:I75 K75 O75:P75 U75 B76:C76 H76:I76 K76 O76:P76 U76 B77:C77 H77:I77 K77 O77:P77 U77 B78:C78 H78:I78 K78 O78:P78 U78 B79:C79 H79:I79 K79 O79:P79 U79 B80:C80 H80:I80 K80 O80:P80 U80 B81:C81 H81:I81 K81 O81:P81 U81 B82:C82 H82:I82 K82 O82:P82 U82 B83:C83 H83:I83 K83 O83:P83 U83 B84:C84 H84:I84 K84 O84:P84 U84 B85:C85 H85:I85 K85 O85:P85 U85 H86:I86 K86 O86:P86 U86 H87:I87 K87 O87:P87 U87 H88:I88 K88 O88:P88 U88 B89:C89 H89:I89 K89 O89:P89 U89 B90:C93 H93:I93 K93 O93:P93 T93 B94:C94 H94:I94 K94 O94:P94 T94 B95:C95 H95:I95 K95 O95:P95 T95 B96:C96 H96:I96 K96 O96:P96 T96 B97:C97 H97:I97 K97 O97:P97 T97 B98:C98 H98:I98 K98 O98:P98 T98 B99:C99 H99:I99 K99 O99:P99 T99 B100:C100 H100:I100 K100 O100:P100 T100 B101:C101 H101:I101 K101 O101:P101 T101 B102:C102 H102:I102 K102 O102:P102 T102 B103:C103 H103:I103 K103 O103:P103 T103 B104:C104 H104:I104 K104 O104:P104 T104 B105:C105 H105:I105 K105 O105:P105 T105 B106:C106 H106:I106 K106 O106:P106 T106 B107:C107 H107:I107 K107 O107:P107 T107 B108:C108 H108:I108 K108 O108:P108 T108 B109:C109 H109:I109 K109 O109:P109 T109 H110:I110 K110 O110:P110 T110 H111:I111 K111 O111:P111 T111 H112:I112 K112 O112:P112 T112 H113:I113 K113 O113:P113 T113 H117:I137 O117:P137 T117:T137 H141:I161 O141:P161 H165:I185 O165:P185 H189:I209 O189:P209 O214:P234 O238:P258">
    <cfRule type="cellIs" dxfId="5" priority="1" operator="lessThan" stopIfTrue="1">
      <formula>0</formula>
    </cfRule>
  </conditionalFormatting>
  <pageMargins left="0.7" right="0.7" top="0.75" bottom="0.75" header="0.3" footer="0.3"/>
  <pageSetup firstPageNumber="1" fitToHeight="1" fitToWidth="1" scale="100" useFirstPageNumber="0" orientation="portrait" pageOrder="downThenOver"/>
  <headerFooter>
    <oddFooter>&amp;C&amp;"ヒラギノ角ゴ ProN W3,Regular"&amp;12&amp;K000000&amp;P</oddFooter>
  </headerFooter>
</worksheet>
</file>

<file path=xl/worksheets/sheet11.xml><?xml version="1.0" encoding="utf-8"?>
<worksheet xmlns:r="http://schemas.openxmlformats.org/officeDocument/2006/relationships" xmlns="http://schemas.openxmlformats.org/spreadsheetml/2006/main">
  <dimension ref="A1:CP70"/>
  <sheetViews>
    <sheetView workbookViewId="0" showGridLines="0" defaultGridColor="1"/>
  </sheetViews>
  <sheetFormatPr defaultColWidth="8.71429" defaultRowHeight="13.5" customHeight="1" outlineLevelRow="0" outlineLevelCol="0"/>
  <cols>
    <col min="1" max="1" width="8.57812" style="403" customWidth="1"/>
    <col min="2" max="2" width="12.1562" style="403" customWidth="1"/>
    <col min="3" max="3" width="14.8672" style="403" customWidth="1"/>
    <col min="4" max="17" width="8" style="403" customWidth="1"/>
    <col min="18" max="46" width="8.15625" style="403" customWidth="1"/>
    <col min="47" max="61" width="8.73438" style="403" customWidth="1"/>
    <col min="62" max="62" width="10.5781" style="403" customWidth="1"/>
    <col min="63" max="88" width="8.73438" style="403" customWidth="1"/>
    <col min="89" max="92" width="10.5781" style="403" customWidth="1"/>
    <col min="93" max="94" width="8.73438" style="403" customWidth="1"/>
    <col min="95" max="256" width="8.73438" style="403" customWidth="1"/>
  </cols>
  <sheetData>
    <row r="1" ht="16" customHeight="1">
      <c r="A1" t="s" s="404">
        <v>205</v>
      </c>
      <c r="B1" t="s" s="405">
        <v>207</v>
      </c>
      <c r="C1" t="s" s="406">
        <v>341</v>
      </c>
      <c r="D1" t="s" s="407">
        <v>342</v>
      </c>
      <c r="E1" s="408"/>
      <c r="F1" s="408"/>
      <c r="G1" s="408"/>
      <c r="H1" s="408"/>
      <c r="I1" s="408"/>
      <c r="J1" s="408"/>
      <c r="K1" t="s" s="262">
        <v>343</v>
      </c>
      <c r="L1" s="292"/>
      <c r="M1" s="292"/>
      <c r="N1" s="292"/>
      <c r="O1" s="292"/>
      <c r="P1" s="292"/>
      <c r="Q1" s="292"/>
      <c r="R1" t="s" s="409">
        <v>344</v>
      </c>
      <c r="S1" s="410"/>
      <c r="T1" s="410"/>
      <c r="U1" s="410"/>
      <c r="V1" s="410"/>
      <c r="W1" s="410"/>
      <c r="X1" s="410"/>
      <c r="Y1" s="410"/>
      <c r="Z1" s="410"/>
      <c r="AA1" s="410"/>
      <c r="AB1" s="410"/>
      <c r="AC1" s="410"/>
      <c r="AD1" s="410"/>
      <c r="AE1" s="410"/>
      <c r="AF1" s="410"/>
      <c r="AG1" s="410"/>
      <c r="AH1" s="410"/>
      <c r="AI1" s="410"/>
      <c r="AJ1" s="410"/>
      <c r="AK1" s="410"/>
      <c r="AL1" s="410"/>
      <c r="AM1" s="410"/>
      <c r="AN1" s="410"/>
      <c r="AO1" s="411"/>
      <c r="AP1" t="s" s="412">
        <v>345</v>
      </c>
      <c r="AQ1" s="413"/>
      <c r="AR1" s="413"/>
      <c r="AS1" s="413"/>
      <c r="AT1" s="413"/>
      <c r="AU1" s="413"/>
      <c r="AV1" s="413"/>
      <c r="AW1" s="413"/>
      <c r="AX1" s="413"/>
      <c r="AY1" s="413"/>
      <c r="AZ1" s="413"/>
      <c r="BA1" s="413"/>
      <c r="BB1" s="413"/>
      <c r="BC1" s="413"/>
      <c r="BD1" s="413"/>
      <c r="BE1" s="413"/>
      <c r="BF1" s="413"/>
      <c r="BG1" s="413"/>
      <c r="BH1" s="413"/>
      <c r="BI1" s="413"/>
      <c r="BJ1" s="413"/>
      <c r="BK1" s="413"/>
      <c r="BL1" s="413"/>
      <c r="BM1" s="413"/>
      <c r="BN1" s="413"/>
      <c r="BO1" s="413"/>
      <c r="BP1" s="413"/>
      <c r="BQ1" s="413"/>
      <c r="BR1" s="413"/>
      <c r="BS1" s="413"/>
      <c r="BT1" s="413"/>
      <c r="BU1" s="413"/>
      <c r="BV1" s="413"/>
      <c r="BW1" s="413"/>
      <c r="BX1" s="413"/>
      <c r="BY1" s="413"/>
      <c r="BZ1" s="413"/>
      <c r="CA1" s="413"/>
      <c r="CB1" s="414"/>
      <c r="CC1" t="s" s="415">
        <v>346</v>
      </c>
      <c r="CD1" s="416"/>
      <c r="CE1" s="416"/>
      <c r="CF1" s="416"/>
      <c r="CG1" s="416"/>
      <c r="CH1" s="416"/>
      <c r="CI1" s="416"/>
      <c r="CJ1" s="416"/>
      <c r="CK1" s="416"/>
      <c r="CL1" s="416"/>
      <c r="CM1" s="416"/>
      <c r="CN1" s="416"/>
      <c r="CO1" s="416"/>
      <c r="CP1" s="417"/>
    </row>
    <row r="2" ht="60" customHeight="1">
      <c r="A2" s="418"/>
      <c r="B2" s="419"/>
      <c r="C2" s="420"/>
      <c r="D2" t="s" s="421">
        <v>347</v>
      </c>
      <c r="E2" t="s" s="422">
        <v>348</v>
      </c>
      <c r="F2" t="s" s="422">
        <v>349</v>
      </c>
      <c r="G2" t="s" s="423">
        <v>350</v>
      </c>
      <c r="H2" t="s" s="421">
        <v>351</v>
      </c>
      <c r="I2" t="s" s="422">
        <v>352</v>
      </c>
      <c r="J2" t="s" s="422">
        <v>353</v>
      </c>
      <c r="K2" t="s" s="422">
        <v>354</v>
      </c>
      <c r="L2" t="s" s="422">
        <v>355</v>
      </c>
      <c r="M2" t="s" s="422">
        <v>356</v>
      </c>
      <c r="N2" t="s" s="423">
        <v>357</v>
      </c>
      <c r="O2" t="s" s="421">
        <v>358</v>
      </c>
      <c r="P2" t="s" s="422">
        <v>359</v>
      </c>
      <c r="Q2" t="s" s="423">
        <v>360</v>
      </c>
      <c r="R2" t="s" s="421">
        <v>354</v>
      </c>
      <c r="S2" t="s" s="422">
        <v>361</v>
      </c>
      <c r="T2" t="s" s="422">
        <v>362</v>
      </c>
      <c r="U2" t="s" s="422">
        <v>363</v>
      </c>
      <c r="V2" t="s" s="422">
        <v>364</v>
      </c>
      <c r="W2" t="s" s="423">
        <v>365</v>
      </c>
      <c r="X2" t="s" s="421">
        <v>366</v>
      </c>
      <c r="Y2" t="s" s="422">
        <v>367</v>
      </c>
      <c r="Z2" t="s" s="422">
        <v>368</v>
      </c>
      <c r="AA2" t="s" s="422">
        <v>369</v>
      </c>
      <c r="AB2" t="s" s="422">
        <v>370</v>
      </c>
      <c r="AC2" t="s" s="423">
        <v>371</v>
      </c>
      <c r="AD2" t="s" s="421">
        <v>372</v>
      </c>
      <c r="AE2" t="s" s="422">
        <v>373</v>
      </c>
      <c r="AF2" t="s" s="422">
        <v>374</v>
      </c>
      <c r="AG2" t="s" s="422">
        <v>375</v>
      </c>
      <c r="AH2" t="s" s="422">
        <v>376</v>
      </c>
      <c r="AI2" t="s" s="423">
        <v>377</v>
      </c>
      <c r="AJ2" t="s" s="421">
        <v>378</v>
      </c>
      <c r="AK2" t="s" s="422">
        <v>379</v>
      </c>
      <c r="AL2" t="s" s="422">
        <v>380</v>
      </c>
      <c r="AM2" t="s" s="422">
        <v>381</v>
      </c>
      <c r="AN2" t="s" s="422">
        <v>382</v>
      </c>
      <c r="AO2" t="s" s="423">
        <v>383</v>
      </c>
      <c r="AP2" t="s" s="424">
        <v>384</v>
      </c>
      <c r="AQ2" t="s" s="422">
        <v>385</v>
      </c>
      <c r="AR2" t="s" s="422">
        <v>386</v>
      </c>
      <c r="AS2" t="s" s="422">
        <v>387</v>
      </c>
      <c r="AT2" t="s" s="422">
        <v>388</v>
      </c>
      <c r="AU2" t="s" s="422">
        <v>389</v>
      </c>
      <c r="AV2" t="s" s="422">
        <v>390</v>
      </c>
      <c r="AW2" t="s" s="422">
        <v>391</v>
      </c>
      <c r="AX2" t="s" s="422">
        <v>392</v>
      </c>
      <c r="AY2" t="s" s="422">
        <v>393</v>
      </c>
      <c r="AZ2" t="s" s="422">
        <v>394</v>
      </c>
      <c r="BA2" t="s" s="422">
        <v>395</v>
      </c>
      <c r="BB2" t="s" s="422">
        <v>396</v>
      </c>
      <c r="BC2" t="s" s="422">
        <v>397</v>
      </c>
      <c r="BD2" t="s" s="422">
        <v>398</v>
      </c>
      <c r="BE2" t="s" s="422">
        <v>399</v>
      </c>
      <c r="BF2" t="s" s="422">
        <v>400</v>
      </c>
      <c r="BG2" t="s" s="422">
        <v>401</v>
      </c>
      <c r="BH2" t="s" s="422">
        <v>402</v>
      </c>
      <c r="BI2" t="s" s="422">
        <v>403</v>
      </c>
      <c r="BJ2" t="s" s="422">
        <v>404</v>
      </c>
      <c r="BK2" t="s" s="422">
        <v>405</v>
      </c>
      <c r="BL2" t="s" s="422">
        <v>406</v>
      </c>
      <c r="BM2" t="s" s="422">
        <v>407</v>
      </c>
      <c r="BN2" t="s" s="422">
        <v>408</v>
      </c>
      <c r="BO2" t="s" s="422">
        <v>409</v>
      </c>
      <c r="BP2" t="s" s="422">
        <v>410</v>
      </c>
      <c r="BQ2" t="s" s="422">
        <v>411</v>
      </c>
      <c r="BR2" t="s" s="422">
        <v>412</v>
      </c>
      <c r="BS2" t="s" s="422">
        <v>413</v>
      </c>
      <c r="BT2" t="s" s="422">
        <v>414</v>
      </c>
      <c r="BU2" t="s" s="422">
        <v>415</v>
      </c>
      <c r="BV2" t="s" s="422">
        <v>416</v>
      </c>
      <c r="BW2" t="s" s="422">
        <v>417</v>
      </c>
      <c r="BX2" t="s" s="422">
        <v>418</v>
      </c>
      <c r="BY2" t="s" s="422">
        <v>419</v>
      </c>
      <c r="BZ2" t="s" s="422">
        <v>420</v>
      </c>
      <c r="CA2" t="s" s="422">
        <v>421</v>
      </c>
      <c r="CB2" t="s" s="423">
        <v>422</v>
      </c>
      <c r="CC2" t="s" s="421">
        <v>423</v>
      </c>
      <c r="CD2" t="s" s="422">
        <v>424</v>
      </c>
      <c r="CE2" t="s" s="422">
        <v>425</v>
      </c>
      <c r="CF2" t="s" s="423">
        <v>426</v>
      </c>
      <c r="CG2" t="s" s="421">
        <v>427</v>
      </c>
      <c r="CH2" t="s" s="422">
        <v>428</v>
      </c>
      <c r="CI2" t="s" s="422">
        <v>429</v>
      </c>
      <c r="CJ2" t="s" s="423">
        <v>430</v>
      </c>
      <c r="CK2" t="s" s="421">
        <v>431</v>
      </c>
      <c r="CL2" t="s" s="422">
        <v>432</v>
      </c>
      <c r="CM2" t="s" s="423">
        <v>433</v>
      </c>
      <c r="CN2" t="s" s="421">
        <v>434</v>
      </c>
      <c r="CO2" t="s" s="422">
        <v>435</v>
      </c>
      <c r="CP2" t="s" s="423">
        <v>436</v>
      </c>
    </row>
    <row r="3" ht="16" customHeight="1">
      <c r="A3" s="418"/>
      <c r="B3" t="s" s="404">
        <v>437</v>
      </c>
      <c r="C3" t="s" s="404">
        <v>437</v>
      </c>
      <c r="D3" s="425">
        <v>468575</v>
      </c>
      <c r="E3" s="426">
        <v>216054</v>
      </c>
      <c r="F3" s="426">
        <v>72768</v>
      </c>
      <c r="G3" s="427">
        <v>70639</v>
      </c>
      <c r="H3" s="428">
        <v>0.461087339273328</v>
      </c>
      <c r="I3" s="429">
        <v>0.155296377314197</v>
      </c>
      <c r="J3" s="430">
        <v>0.150752814384037</v>
      </c>
      <c r="K3" s="425">
        <v>1069576</v>
      </c>
      <c r="L3" s="426">
        <v>112115</v>
      </c>
      <c r="M3" s="426">
        <v>371767</v>
      </c>
      <c r="N3" s="427">
        <v>511427</v>
      </c>
      <c r="O3" s="428">
        <v>0.104821910738461</v>
      </c>
      <c r="P3" s="429">
        <v>0.347583528426217</v>
      </c>
      <c r="Q3" s="430">
        <v>0.478158634823519</v>
      </c>
      <c r="R3" s="431">
        <v>1069576</v>
      </c>
      <c r="S3" s="432">
        <v>136010</v>
      </c>
      <c r="T3" s="432">
        <v>41999</v>
      </c>
      <c r="U3" s="432">
        <v>44855</v>
      </c>
      <c r="V3" s="432">
        <v>4371</v>
      </c>
      <c r="W3" s="433">
        <v>227235</v>
      </c>
      <c r="X3" s="431">
        <v>504763</v>
      </c>
      <c r="Y3" s="432">
        <v>60478</v>
      </c>
      <c r="Z3" s="432">
        <v>20228</v>
      </c>
      <c r="AA3" s="432">
        <v>25200</v>
      </c>
      <c r="AB3" s="432">
        <v>1824</v>
      </c>
      <c r="AC3" s="433">
        <v>107730</v>
      </c>
      <c r="AD3" s="431">
        <v>564813</v>
      </c>
      <c r="AE3" s="432">
        <v>75532</v>
      </c>
      <c r="AF3" s="432">
        <v>21771</v>
      </c>
      <c r="AG3" s="432">
        <v>19655</v>
      </c>
      <c r="AH3" s="432">
        <v>2547</v>
      </c>
      <c r="AI3" s="433">
        <v>119505</v>
      </c>
      <c r="AJ3" s="428">
        <v>0.212453345998788</v>
      </c>
      <c r="AK3" s="429">
        <v>0.184826281162673</v>
      </c>
      <c r="AL3" s="429">
        <v>0.19739476753141</v>
      </c>
      <c r="AM3" s="429">
        <v>0.019235593108456</v>
      </c>
      <c r="AN3" s="429">
        <v>0.474090699056043</v>
      </c>
      <c r="AO3" s="430">
        <v>0.525909300943957</v>
      </c>
      <c r="AP3" s="431">
        <v>498592</v>
      </c>
      <c r="AQ3" s="432">
        <v>46601</v>
      </c>
      <c r="AR3" s="432">
        <v>2574</v>
      </c>
      <c r="AS3" s="432">
        <v>119</v>
      </c>
      <c r="AT3" s="432">
        <v>41697</v>
      </c>
      <c r="AU3" s="432">
        <v>59731</v>
      </c>
      <c r="AV3" s="432">
        <v>2292</v>
      </c>
      <c r="AW3" s="432">
        <v>6440</v>
      </c>
      <c r="AX3" s="432">
        <v>19650</v>
      </c>
      <c r="AY3" s="432">
        <v>72716</v>
      </c>
      <c r="AZ3" s="432">
        <v>9722.999999999991</v>
      </c>
      <c r="BA3" s="432">
        <v>6355</v>
      </c>
      <c r="BB3" s="432">
        <v>12105</v>
      </c>
      <c r="BC3" s="432">
        <v>25017</v>
      </c>
      <c r="BD3" s="432">
        <v>16999</v>
      </c>
      <c r="BE3" s="432">
        <v>25490</v>
      </c>
      <c r="BF3" s="432">
        <v>83199</v>
      </c>
      <c r="BG3" s="432">
        <v>6219</v>
      </c>
      <c r="BH3" s="432">
        <v>28572</v>
      </c>
      <c r="BI3" s="433">
        <v>23419</v>
      </c>
      <c r="BJ3" s="428">
        <v>0.0934651979975611</v>
      </c>
      <c r="BK3" s="429">
        <v>0.0051625377061806</v>
      </c>
      <c r="BL3" s="429">
        <v>0.000238672100635389</v>
      </c>
      <c r="BM3" s="429">
        <v>0.0836295006738977</v>
      </c>
      <c r="BN3" s="429">
        <v>0.119799354983634</v>
      </c>
      <c r="BO3" s="429">
        <v>0.00459694499711187</v>
      </c>
      <c r="BP3" s="429">
        <v>0.012916372504974</v>
      </c>
      <c r="BQ3" s="429">
        <v>0.0394109813234067</v>
      </c>
      <c r="BR3" s="429">
        <v>0.145842693023554</v>
      </c>
      <c r="BS3" s="429">
        <v>0.0195009145754444</v>
      </c>
      <c r="BT3" s="429">
        <v>0.0127458924330916</v>
      </c>
      <c r="BU3" s="429">
        <v>0.0242783678839612</v>
      </c>
      <c r="BV3" s="429">
        <v>0.0501752936268532</v>
      </c>
      <c r="BW3" s="429">
        <v>0.0340940087285797</v>
      </c>
      <c r="BX3" s="429">
        <v>0.0511239650856813</v>
      </c>
      <c r="BY3" s="429">
        <v>0.166867900006418</v>
      </c>
      <c r="BZ3" s="429">
        <v>0.0124731243180797</v>
      </c>
      <c r="CA3" s="429">
        <v>0.0573053719273474</v>
      </c>
      <c r="CB3" s="430">
        <v>0.0469702682754637</v>
      </c>
      <c r="CC3" s="431">
        <v>498592</v>
      </c>
      <c r="CD3" s="432">
        <v>412571</v>
      </c>
      <c r="CE3" s="432">
        <v>70576</v>
      </c>
      <c r="CF3" s="433">
        <v>7435</v>
      </c>
      <c r="CG3" s="431">
        <v>43141</v>
      </c>
      <c r="CH3" s="432">
        <v>33185</v>
      </c>
      <c r="CI3" s="432">
        <v>8083</v>
      </c>
      <c r="CJ3" s="433">
        <v>814</v>
      </c>
      <c r="CK3" s="428">
        <v>0.827472161607086</v>
      </c>
      <c r="CL3" s="429">
        <v>0.141550606507926</v>
      </c>
      <c r="CM3" s="430">
        <v>0.0149119921699506</v>
      </c>
      <c r="CN3" s="428">
        <v>0.769221853920864</v>
      </c>
      <c r="CO3" s="429">
        <v>0.18736236990334</v>
      </c>
      <c r="CP3" s="430">
        <v>0.0188683618831274</v>
      </c>
    </row>
    <row r="4" ht="16" customHeight="1">
      <c r="A4" s="418"/>
      <c r="B4" t="s" s="404">
        <f>B5&amp;"平均"</f>
        <v>438</v>
      </c>
      <c r="C4" t="s" s="404">
        <f>B4</f>
        <v>438</v>
      </c>
      <c r="D4" s="425">
        <f>SUM(D7:D70)</f>
        <v>21960</v>
      </c>
      <c r="E4" s="426">
        <f>SUM(E7:E70)</f>
        <v>12054</v>
      </c>
      <c r="F4" s="426">
        <f>SUM(F7:F70)</f>
        <v>4047</v>
      </c>
      <c r="G4" s="427">
        <f>SUM(G7:G70)</f>
        <v>4095</v>
      </c>
      <c r="H4" s="428">
        <f>E4/D4</f>
        <v>0.548907103825137</v>
      </c>
      <c r="I4" s="429">
        <f>F4/D4</f>
        <v>0.184289617486339</v>
      </c>
      <c r="J4" s="430">
        <f>G4/D4</f>
        <v>0.186475409836066</v>
      </c>
      <c r="K4" s="425">
        <f>SUM(K7:K70)</f>
        <v>50848</v>
      </c>
      <c r="L4" s="426">
        <f>SUM(L7:L70)</f>
        <v>5580</v>
      </c>
      <c r="M4" s="426">
        <f>SUM(M7:M70)</f>
        <v>17200</v>
      </c>
      <c r="N4" s="427">
        <f>SUM(N7:N70)</f>
        <v>26596</v>
      </c>
      <c r="O4" s="428">
        <f>L4/K4</f>
        <v>0.109738829452486</v>
      </c>
      <c r="P4" s="429">
        <f>M4/K4</f>
        <v>0.338263058527376</v>
      </c>
      <c r="Q4" s="430">
        <f>N4/K4</f>
        <v>0.5230490874764</v>
      </c>
      <c r="R4" s="425">
        <f>SUM(R7:R70)</f>
        <v>50848</v>
      </c>
      <c r="S4" s="432">
        <f>SUM(S7:S70)</f>
        <v>7174</v>
      </c>
      <c r="T4" s="432">
        <f>SUM(T7:T70)</f>
        <v>1643</v>
      </c>
      <c r="U4" s="432">
        <f>SUM(U7:U70)</f>
        <v>1730</v>
      </c>
      <c r="V4" s="432">
        <f>SUM(V7:V70)</f>
        <v>310</v>
      </c>
      <c r="W4" s="433">
        <f>S4+T4+U4+V4</f>
        <v>10857</v>
      </c>
      <c r="X4" s="431">
        <f>SUM(X7:X70)</f>
        <v>23930</v>
      </c>
      <c r="Y4" s="432">
        <f>SUM(Y7:Y70)</f>
        <v>3115</v>
      </c>
      <c r="Z4" s="432">
        <f>SUM(Z7:Z70)</f>
        <v>805</v>
      </c>
      <c r="AA4" s="432">
        <f>SUM(AA7:AA70)</f>
        <v>985</v>
      </c>
      <c r="AB4" s="432">
        <f>SUM(AB7:AB70)</f>
        <v>238</v>
      </c>
      <c r="AC4" s="433">
        <f>Y4+Z4+AA4+AB4</f>
        <v>5143</v>
      </c>
      <c r="AD4" s="434">
        <f>SUM(AD7:AD70)</f>
        <v>26918</v>
      </c>
      <c r="AE4" s="434">
        <f>SUM(AE7:AE70)</f>
        <v>4059</v>
      </c>
      <c r="AF4" s="434">
        <f>SUM(AF7:AF70)</f>
        <v>838</v>
      </c>
      <c r="AG4" s="434">
        <f>SUM(AG7:AG70)</f>
        <v>745</v>
      </c>
      <c r="AH4" s="431">
        <f>SUM(AH7:AH70)</f>
        <v>72</v>
      </c>
      <c r="AI4" s="433">
        <f>AE4+AF4+AG4+AH4</f>
        <v>5714</v>
      </c>
      <c r="AJ4" s="428">
        <f>W4/R4</f>
        <v>0.21351872246696</v>
      </c>
      <c r="AK4" s="429">
        <f>T4/W4</f>
        <v>0.151330938564981</v>
      </c>
      <c r="AL4" s="429">
        <f>U4/W4</f>
        <v>0.159344201897393</v>
      </c>
      <c r="AM4" s="429">
        <f>V4/W4</f>
        <v>0.0285530072764115</v>
      </c>
      <c r="AN4" s="429">
        <f>AC4/W4</f>
        <v>0.473703601363176</v>
      </c>
      <c r="AO4" s="430">
        <f>AI4/W4</f>
        <v>0.526296398636824</v>
      </c>
      <c r="AP4" s="431">
        <f>SUM(AP7:AP70)</f>
        <v>22871</v>
      </c>
      <c r="AQ4" s="432">
        <f>SUM(AQ7:AQ70)</f>
        <v>2138</v>
      </c>
      <c r="AR4" s="432">
        <f>SUM(AR7:AR70)</f>
        <v>524</v>
      </c>
      <c r="AS4" s="432">
        <f>SUM(AS7:AS70)</f>
        <v>6</v>
      </c>
      <c r="AT4" s="432">
        <f>SUM(AT7:AT70)</f>
        <v>1625</v>
      </c>
      <c r="AU4" s="432">
        <f>SUM(AU7:AU70)</f>
        <v>2992</v>
      </c>
      <c r="AV4" s="432">
        <f>SUM(AV7:AV70)</f>
        <v>121</v>
      </c>
      <c r="AW4" s="432">
        <f>SUM(AW7:AW70)</f>
        <v>125</v>
      </c>
      <c r="AX4" s="432">
        <f>SUM(AX7:AX70)</f>
        <v>1408</v>
      </c>
      <c r="AY4" s="432">
        <f>SUM(AY7:AY70)</f>
        <v>2989</v>
      </c>
      <c r="AZ4" s="432">
        <f>SUM(AZ7:AZ70)</f>
        <v>417</v>
      </c>
      <c r="BA4" s="432">
        <f>SUM(BA7:BA70)</f>
        <v>172</v>
      </c>
      <c r="BB4" s="432">
        <f>SUM(BB7:BB70)</f>
        <v>422</v>
      </c>
      <c r="BC4" s="432">
        <f>SUM(BC7:BC70)</f>
        <v>1174</v>
      </c>
      <c r="BD4" s="432">
        <f>SUM(BD7:BD70)</f>
        <v>763</v>
      </c>
      <c r="BE4" s="432">
        <f>SUM(BE7:BE70)</f>
        <v>1047</v>
      </c>
      <c r="BF4" s="432">
        <f>SUM(BF7:BF70)</f>
        <v>4204</v>
      </c>
      <c r="BG4" s="432">
        <f>SUM(BG7:BG70)</f>
        <v>434</v>
      </c>
      <c r="BH4" s="432">
        <f>SUM(BH7:BH70)</f>
        <v>1294</v>
      </c>
      <c r="BI4" s="433">
        <f>SUM(BI7:BI70)</f>
        <v>951</v>
      </c>
      <c r="BJ4" s="428">
        <f>IF($AP4=0,0,AQ4/$AP4)</f>
        <v>0.0934808272484806</v>
      </c>
      <c r="BK4" s="429">
        <f>IF($AP4=0,0,AR4/$AP4)</f>
        <v>0.0229111101394779</v>
      </c>
      <c r="BL4" s="429">
        <f>IF($AP4=0,0,AS4/$AP4)</f>
        <v>0.000262340955795549</v>
      </c>
      <c r="BM4" s="429">
        <f>IF($AP4=0,0,AT4/$AP4)</f>
        <v>0.0710506755279612</v>
      </c>
      <c r="BN4" s="429">
        <f>IF($AP4=0,0,AU4/$AP4)</f>
        <v>0.130820689956714</v>
      </c>
      <c r="BO4" s="429">
        <f>IF($AP4=0,0,AV4/$AP4)</f>
        <v>0.00529054260854357</v>
      </c>
      <c r="BP4" s="429">
        <f>IF($AP4=0,0,AW4/$AP4)</f>
        <v>0.00546543657907394</v>
      </c>
      <c r="BQ4" s="429">
        <f>IF($AP4=0,0,AX4/$AP4)</f>
        <v>0.0615626776266888</v>
      </c>
      <c r="BR4" s="429">
        <f>IF($AP4=0,0,AY4/$AP4)</f>
        <v>0.130689519478816</v>
      </c>
      <c r="BS4" s="429">
        <f>IF($AP4=0,0,AZ4/$AP4)</f>
        <v>0.0182326964277907</v>
      </c>
      <c r="BT4" s="429">
        <f>IF($AP4=0,0,BA4/$AP4)</f>
        <v>0.00752044073280574</v>
      </c>
      <c r="BU4" s="429">
        <f>IF($AP4=0,0,BB4/$AP4)</f>
        <v>0.0184513138909536</v>
      </c>
      <c r="BV4" s="429">
        <f>IF($AP4=0,0,BC4/$AP4)</f>
        <v>0.0513313803506624</v>
      </c>
      <c r="BW4" s="429">
        <f>IF($AP4=0,0,BD4/$AP4)</f>
        <v>0.0333610248786673</v>
      </c>
      <c r="BX4" s="429">
        <f>IF($AP4=0,0,BE4/$AP4)</f>
        <v>0.0457784967863233</v>
      </c>
      <c r="BY4" s="429">
        <f>IF($AP4=0,0,BF4/$AP4)</f>
        <v>0.183813563027415</v>
      </c>
      <c r="BZ4" s="429">
        <f>IF($AP4=0,0,BG4/$AP4)</f>
        <v>0.0189759958025447</v>
      </c>
      <c r="CA4" s="429">
        <f>IF($AP4=0,0,BH4/$AP4)</f>
        <v>0.0565781994665734</v>
      </c>
      <c r="CB4" s="430">
        <f>IF($AP4=0,0,BI4/$AP4)</f>
        <v>0.0415810414935945</v>
      </c>
      <c r="CC4" s="431">
        <f>SUM(CC7:CC70)</f>
        <v>22871</v>
      </c>
      <c r="CD4" s="432">
        <f>SUM(CD7:CD70)</f>
        <v>20575</v>
      </c>
      <c r="CE4" s="432">
        <f>SUM(CE7:CE70)</f>
        <v>1483</v>
      </c>
      <c r="CF4" s="433">
        <f>SUM(CF7:CF70)</f>
        <v>688</v>
      </c>
      <c r="CG4" s="431">
        <f>SUM(CG7:CG70)</f>
        <v>1866</v>
      </c>
      <c r="CH4" s="432">
        <f>SUM(CH7:CH70)</f>
        <v>1523</v>
      </c>
      <c r="CI4" s="432">
        <f>SUM(CI7:CI70)</f>
        <v>297</v>
      </c>
      <c r="CJ4" s="433">
        <f>SUM(CJ7:CJ70)</f>
        <v>23</v>
      </c>
      <c r="CK4" s="428">
        <f>IF($CC4=0,0,CD4/$CC4)</f>
        <v>0.89961086091557</v>
      </c>
      <c r="CL4" s="429">
        <f>IF($CC4=0,0,CE4/$CC4)</f>
        <v>0.0648419395741332</v>
      </c>
      <c r="CM4" s="430">
        <f>IF($CC4=0,0,CF4/$CC4)</f>
        <v>0.0300817629312229</v>
      </c>
      <c r="CN4" s="428">
        <f>IF($CG4=0,0,CH4/$CG4)</f>
        <v>0.8161843515541261</v>
      </c>
      <c r="CO4" s="429">
        <f>IF($CG4=0,0,CI4/$CG4)</f>
        <v>0.159163987138264</v>
      </c>
      <c r="CP4" s="430">
        <f>IF($CG4=0,0,CJ4/$CG4)</f>
        <v>0.0123258306538049</v>
      </c>
    </row>
    <row r="5" ht="16" customHeight="1">
      <c r="A5" t="s" s="435">
        <v>206</v>
      </c>
      <c r="B5" t="s" s="406">
        <f>VLOOKUP($A$5,$A$7:$CP$50,2,FALSE)</f>
        <v>155</v>
      </c>
      <c r="C5" t="s" s="406">
        <f>VLOOKUP($A$5,$A$7:$CP$50,3,FALSE)</f>
        <v>8</v>
      </c>
      <c r="D5" s="436">
        <f>VLOOKUP($A$5,$A$7:$CP$70,4,FALSE)</f>
        <v>1467</v>
      </c>
      <c r="E5" s="437">
        <f>VLOOKUP($A$5,$A$7:$CP$70,5,FALSE)</f>
        <v>1011</v>
      </c>
      <c r="F5" s="437">
        <f>VLOOKUP($A$5,$A$7:$CP$70,6,FALSE)</f>
        <v>339</v>
      </c>
      <c r="G5" s="438">
        <f>VLOOKUP($A$5,$A$7:$CP$70,7,FALSE)</f>
        <v>341</v>
      </c>
      <c r="H5" s="439">
        <f>VLOOKUP($A$5,$A$7:$CP$70,8,FALSE)</f>
        <v>0.689161554192229</v>
      </c>
      <c r="I5" s="440">
        <f>VLOOKUP($A$5,$A$7:$CP$70,9,FALSE)</f>
        <v>0.231083844580777</v>
      </c>
      <c r="J5" s="441">
        <f>VLOOKUP($A$5,$A$7:$CP$70,10,FALSE)</f>
        <v>0.232447171097478</v>
      </c>
      <c r="K5" s="436">
        <f>VLOOKUP($A$5,$A$7:$CP$70,11,FALSE)</f>
        <v>3046</v>
      </c>
      <c r="L5" s="437">
        <f>VLOOKUP($A$5,$A$7:$CP$70,12,FALSE)</f>
        <v>538</v>
      </c>
      <c r="M5" s="437">
        <f>VLOOKUP($A$5,$A$7:$CP$70,13,FALSE)</f>
        <v>514</v>
      </c>
      <c r="N5" s="438">
        <f>VLOOKUP($A$5,$A$7:$CP$70,14,FALSE)</f>
        <v>1930</v>
      </c>
      <c r="O5" s="439">
        <f>VLOOKUP($A$5,$A$7:$CP$70,15,FALSE)</f>
        <v>0.176625082074852</v>
      </c>
      <c r="P5" s="440">
        <f>VLOOKUP($A$5,$A$7:$CP$70,16,FALSE)</f>
        <v>0.168745896257387</v>
      </c>
      <c r="Q5" s="441">
        <f>VLOOKUP($A$5,$A$7:$CP$70,17,FALSE)</f>
        <v>0.633617859487853</v>
      </c>
      <c r="R5" s="436">
        <f>VLOOKUP($A$5,$A$7:$CP$70,18,FALSE)</f>
        <v>3046</v>
      </c>
      <c r="S5" s="437">
        <f>VLOOKUP($A$5,$A$7:$CP$70,19,FALSE)</f>
        <v>128</v>
      </c>
      <c r="T5" s="437">
        <f>VLOOKUP($A$5,$A$7:$CP$70,20,FALSE)</f>
        <v>38</v>
      </c>
      <c r="U5" s="437">
        <f>VLOOKUP($A$5,$A$7:$CP$70,21,FALSE)</f>
        <v>73</v>
      </c>
      <c r="V5" s="437">
        <f>VLOOKUP($A$5,$A$7:$CP$70,22,FALSE)</f>
        <v>50</v>
      </c>
      <c r="W5" s="438">
        <f>VLOOKUP($A$5,$A$7:$CP$70,23,FALSE)</f>
        <v>289</v>
      </c>
      <c r="X5" s="436">
        <f>VLOOKUP($A$5,$A$7:$CP$70,24,FALSE)</f>
        <v>1463</v>
      </c>
      <c r="Y5" s="437">
        <f>VLOOKUP($A$5,$A$7:$CP$70,25,FALSE)</f>
        <v>61</v>
      </c>
      <c r="Z5" s="437">
        <f>VLOOKUP($A$5,$A$7:$CP$70,26,FALSE)</f>
        <v>19</v>
      </c>
      <c r="AA5" s="437">
        <f>VLOOKUP($A$5,$A$7:$CP$70,27,FALSE)</f>
        <v>38</v>
      </c>
      <c r="AB5" s="437">
        <f>VLOOKUP($A$5,$A$7:$CP$70,28,FALSE)</f>
        <v>33</v>
      </c>
      <c r="AC5" s="438">
        <f>VLOOKUP($A$5,$A$7:$CP$70,29,FALSE)</f>
        <v>151</v>
      </c>
      <c r="AD5" s="436">
        <f>VLOOKUP($A$5,$A$7:$CP$70,30,FALSE)</f>
        <v>1583</v>
      </c>
      <c r="AE5" s="437">
        <f>VLOOKUP($A$5,$A$7:$CP$70,31,FALSE)</f>
        <v>67</v>
      </c>
      <c r="AF5" s="437">
        <f>VLOOKUP($A$5,$A$7:$CP$70,32,FALSE)</f>
        <v>19</v>
      </c>
      <c r="AG5" s="437">
        <f>VLOOKUP($A$5,$A$7:$CP$70,33,FALSE)</f>
        <v>35</v>
      </c>
      <c r="AH5" s="437">
        <f>VLOOKUP($A$5,$A$7:$CP$70,34,FALSE)</f>
        <v>17</v>
      </c>
      <c r="AI5" s="438">
        <f>VLOOKUP($A$5,$A$7:$CP$70,35,FALSE)</f>
        <v>138</v>
      </c>
      <c r="AJ5" s="439">
        <f>VLOOKUP($A$5,$A$7:$CP$70,36,FALSE)</f>
        <v>0.09487852921864739</v>
      </c>
      <c r="AK5" s="440">
        <f>VLOOKUP($A$5,$A$7:$CP$70,37,FALSE)</f>
        <v>0.131487889273356</v>
      </c>
      <c r="AL5" s="440">
        <f>VLOOKUP($A$5,$A$7:$CP$70,38,FALSE)</f>
        <v>0.252595155709343</v>
      </c>
      <c r="AM5" s="440">
        <f>VLOOKUP($A$5,$A$7:$CP$70,39,FALSE)</f>
        <v>0.173010380622837</v>
      </c>
      <c r="AN5" s="440">
        <f>VLOOKUP($A$5,$A$7:$CP$70,40,FALSE)</f>
        <v>0.522491349480969</v>
      </c>
      <c r="AO5" s="441">
        <f>VLOOKUP($A$5,$A$7:$CP$70,41,FALSE)</f>
        <v>0.477508650519031</v>
      </c>
      <c r="AP5" s="436">
        <f>VLOOKUP($A$5,$A$7:$CP$70,42,FALSE)</f>
        <v>1412</v>
      </c>
      <c r="AQ5" s="437">
        <f>VLOOKUP($A$5,$A$7:$CP$70,43,FALSE)</f>
        <v>322</v>
      </c>
      <c r="AR5" s="437">
        <f>VLOOKUP($A$5,$A$7:$CP$70,44,FALSE)</f>
        <v>34</v>
      </c>
      <c r="AS5" s="437">
        <f>VLOOKUP($A$5,$A$7:$CP$70,45,FALSE)</f>
        <v>1</v>
      </c>
      <c r="AT5" s="437">
        <f>VLOOKUP($A$5,$A$7:$CP$70,46,FALSE)</f>
        <v>94</v>
      </c>
      <c r="AU5" s="437">
        <f>VLOOKUP($A$5,$A$7:$CP$70,47,FALSE)</f>
        <v>159</v>
      </c>
      <c r="AV5" s="437">
        <f>VLOOKUP($A$5,$A$7:$CP$70,48,FALSE)</f>
        <v>4</v>
      </c>
      <c r="AW5" s="437">
        <f>VLOOKUP($A$5,$A$7:$CP$70,49,FALSE)</f>
        <v>2</v>
      </c>
      <c r="AX5" s="437">
        <f>VLOOKUP($A$5,$A$7:$CP$70,50,FALSE)</f>
        <v>63</v>
      </c>
      <c r="AY5" s="437">
        <f>VLOOKUP($A$5,$A$7:$CP$70,51,FALSE)</f>
        <v>176</v>
      </c>
      <c r="AZ5" s="437">
        <f>VLOOKUP($A$5,$A$7:$CP$70,52,FALSE)</f>
        <v>14</v>
      </c>
      <c r="BA5" s="437">
        <f>VLOOKUP($A$5,$A$7:$CP$70,53,FALSE)</f>
        <v>9</v>
      </c>
      <c r="BB5" s="437">
        <f>VLOOKUP($A$5,$A$7:$CP$70,54,FALSE)</f>
        <v>22</v>
      </c>
      <c r="BC5" s="437">
        <f>VLOOKUP($A$5,$A$7:$CP$70,55,FALSE)</f>
        <v>52</v>
      </c>
      <c r="BD5" s="437">
        <f>VLOOKUP($A$5,$A$7:$CP$70,56,FALSE)</f>
        <v>41</v>
      </c>
      <c r="BE5" s="437">
        <f>VLOOKUP($A$5,$A$7:$CP$70,57,FALSE)</f>
        <v>29</v>
      </c>
      <c r="BF5" s="437">
        <f>VLOOKUP($A$5,$A$7:$CP$70,58,FALSE)</f>
        <v>207</v>
      </c>
      <c r="BG5" s="437">
        <f>VLOOKUP($A$5,$A$7:$CP$70,59,FALSE)</f>
        <v>29</v>
      </c>
      <c r="BH5" s="437">
        <f>VLOOKUP($A$5,$A$7:$CP$70,60,FALSE)</f>
        <v>88</v>
      </c>
      <c r="BI5" s="438">
        <f>VLOOKUP($A$5,$A$7:$CP$70,61,FALSE)</f>
        <v>33</v>
      </c>
      <c r="BJ5" s="439">
        <f>VLOOKUP($A$5,$A$7:$CP$70,62,FALSE)</f>
        <v>0.228045325779037</v>
      </c>
      <c r="BK5" s="440">
        <f>VLOOKUP($A$5,$A$7:$CP$70,63,FALSE)</f>
        <v>0.0240793201133144</v>
      </c>
      <c r="BL5" s="440">
        <f>VLOOKUP($A$5,$A$7:$CP$70,64,FALSE)</f>
        <v>0.000708215297450425</v>
      </c>
      <c r="BM5" s="440">
        <f>VLOOKUP($A$5,$A$7:$CP$70,65,FALSE)</f>
        <v>0.0665722379603399</v>
      </c>
      <c r="BN5" s="440">
        <f>VLOOKUP($A$5,$A$7:$CP$70,66,FALSE)</f>
        <v>0.112606232294618</v>
      </c>
      <c r="BO5" s="440">
        <f>VLOOKUP($A$5,$A$7:$CP$70,67,FALSE)</f>
        <v>0.0028328611898017</v>
      </c>
      <c r="BP5" s="440">
        <f>VLOOKUP($A$5,$A$7:$CP$70,68,FALSE)</f>
        <v>0.00141643059490085</v>
      </c>
      <c r="BQ5" s="440">
        <f>VLOOKUP($A$5,$A$7:$CP$70,69,FALSE)</f>
        <v>0.0446175637393768</v>
      </c>
      <c r="BR5" s="440">
        <f>VLOOKUP($A$5,$A$7:$CP$70,70,FALSE)</f>
        <v>0.124645892351275</v>
      </c>
      <c r="BS5" s="440">
        <f>VLOOKUP($A$5,$A$7:$CP$70,71,FALSE)</f>
        <v>0.009915014164305951</v>
      </c>
      <c r="BT5" s="440">
        <f>VLOOKUP($A$5,$A$7:$CP$70,72,FALSE)</f>
        <v>0.00637393767705382</v>
      </c>
      <c r="BU5" s="440">
        <f>VLOOKUP($A$5,$A$7:$CP$70,73,FALSE)</f>
        <v>0.0155807365439093</v>
      </c>
      <c r="BV5" s="440">
        <f>VLOOKUP($A$5,$A$7:$CP$70,74,FALSE)</f>
        <v>0.0368271954674221</v>
      </c>
      <c r="BW5" s="440">
        <f>VLOOKUP($A$5,$A$7:$CP$70,75,FALSE)</f>
        <v>0.0290368271954674</v>
      </c>
      <c r="BX5" s="440">
        <f>VLOOKUP($A$5,$A$7:$CP$70,76,FALSE)</f>
        <v>0.0205382436260623</v>
      </c>
      <c r="BY5" s="440">
        <f>VLOOKUP($A$5,$A$7:$CP$70,77,FALSE)</f>
        <v>0.146600566572238</v>
      </c>
      <c r="BZ5" s="440">
        <f>VLOOKUP($A$5,$A$7:$CP$70,78,FALSE)</f>
        <v>0.0205382436260623</v>
      </c>
      <c r="CA5" s="440">
        <f>VLOOKUP($A$5,$A$7:$CP$70,79,FALSE)</f>
        <v>0.0623229461756374</v>
      </c>
      <c r="CB5" s="441">
        <f>VLOOKUP($A$5,$A$7:$CP$70,80,FALSE)</f>
        <v>0.023371104815864</v>
      </c>
      <c r="CC5" s="436">
        <f>VLOOKUP($A$5,$A$7:$CP$70,81,FALSE)</f>
        <v>1412</v>
      </c>
      <c r="CD5" s="437">
        <f>VLOOKUP($A$5,$A$7:$CP$70,82,FALSE)</f>
        <v>1285</v>
      </c>
      <c r="CE5" s="437">
        <f>VLOOKUP($A$5,$A$7:$CP$70,83,FALSE)</f>
        <v>58</v>
      </c>
      <c r="CF5" s="438">
        <f>VLOOKUP($A$5,$A$7:$CP$70,84,FALSE)</f>
        <v>35</v>
      </c>
      <c r="CG5" s="436">
        <f>VLOOKUP($A$5,$A$7:$CP$70,85,FALSE)</f>
        <v>73</v>
      </c>
      <c r="CH5" s="437">
        <f>VLOOKUP($A$5,$A$7:$CP$70,86,FALSE)</f>
        <v>57</v>
      </c>
      <c r="CI5" s="437">
        <f>VLOOKUP($A$5,$A$7:$CP$70,87,FALSE)</f>
        <v>12</v>
      </c>
      <c r="CJ5" s="438">
        <f>VLOOKUP($A$5,$A$7:$CP$70,88,FALSE)</f>
        <v>3</v>
      </c>
      <c r="CK5" s="439">
        <f>VLOOKUP($A$5,$A$7:$CP$70,89,FALSE)</f>
        <v>0.910056657223796</v>
      </c>
      <c r="CL5" s="440">
        <f>VLOOKUP($A$5,$A$7:$CP$70,90,FALSE)</f>
        <v>0.0410764872521246</v>
      </c>
      <c r="CM5" s="441">
        <f>VLOOKUP($A$5,$A$7:$CP$70,91,FALSE)</f>
        <v>0.0247875354107649</v>
      </c>
      <c r="CN5" s="439">
        <f>VLOOKUP($A$5,$A$7:$CP$70,92,FALSE)</f>
        <v>0.780821917808219</v>
      </c>
      <c r="CO5" s="440">
        <f>VLOOKUP($A$5,$A$7:$CP$70,93,FALSE)</f>
        <v>0.164383561643836</v>
      </c>
      <c r="CP5" s="441">
        <f>VLOOKUP($A$5,$A$7:$CP$70,94,FALSE)</f>
        <v>0.0410958904109589</v>
      </c>
    </row>
    <row r="6" ht="16" customHeight="1">
      <c r="A6" s="442"/>
      <c r="B6" s="443"/>
      <c r="C6" s="443"/>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3"/>
      <c r="AK6" s="443"/>
      <c r="AL6" s="443"/>
      <c r="AM6" s="443"/>
      <c r="AN6" s="443"/>
      <c r="AO6" s="443"/>
      <c r="AP6" s="443"/>
      <c r="AQ6" s="443"/>
      <c r="AR6" s="443"/>
      <c r="AS6" s="443"/>
      <c r="AT6" s="443"/>
      <c r="AU6" s="443"/>
      <c r="AV6" s="443"/>
      <c r="AW6" s="443"/>
      <c r="AX6" s="443"/>
      <c r="AY6" s="443"/>
      <c r="AZ6" s="443"/>
      <c r="BA6" s="443"/>
      <c r="BB6" s="443"/>
      <c r="BC6" s="443"/>
      <c r="BD6" s="443"/>
      <c r="BE6" s="443"/>
      <c r="BF6" s="443"/>
      <c r="BG6" s="443"/>
      <c r="BH6" s="443"/>
      <c r="BI6" s="443"/>
      <c r="BJ6" s="443"/>
      <c r="BK6" s="443"/>
      <c r="BL6" s="443"/>
      <c r="BM6" s="443"/>
      <c r="BN6" s="443"/>
      <c r="BO6" s="443"/>
      <c r="BP6" s="443"/>
      <c r="BQ6" s="443"/>
      <c r="BR6" s="443"/>
      <c r="BS6" s="443"/>
      <c r="BT6" s="443"/>
      <c r="BU6" s="443"/>
      <c r="BV6" s="443"/>
      <c r="BW6" s="443"/>
      <c r="BX6" s="443"/>
      <c r="BY6" s="443"/>
      <c r="BZ6" s="443"/>
      <c r="CA6" s="443"/>
      <c r="CB6" s="443"/>
      <c r="CC6" s="443"/>
      <c r="CD6" s="443"/>
      <c r="CE6" s="443"/>
      <c r="CF6" s="443"/>
      <c r="CG6" s="443"/>
      <c r="CH6" s="443"/>
      <c r="CI6" s="443"/>
      <c r="CJ6" s="443"/>
      <c r="CK6" s="443"/>
      <c r="CL6" s="443"/>
      <c r="CM6" s="443"/>
      <c r="CN6" s="443"/>
      <c r="CO6" s="443"/>
      <c r="CP6" s="444"/>
    </row>
    <row r="7" ht="16" customHeight="1">
      <c r="A7" t="s" s="445">
        <v>439</v>
      </c>
      <c r="B7" t="s" s="445">
        <v>155</v>
      </c>
      <c r="C7" t="s" s="445">
        <v>440</v>
      </c>
      <c r="D7" s="446">
        <v>2332</v>
      </c>
      <c r="E7" s="446">
        <v>1476</v>
      </c>
      <c r="F7" s="446">
        <v>523</v>
      </c>
      <c r="G7" s="446">
        <v>500</v>
      </c>
      <c r="H7" s="446">
        <v>0.632933104631218</v>
      </c>
      <c r="I7" s="446">
        <v>0.224271012006861</v>
      </c>
      <c r="J7" s="446">
        <v>0.214408233276158</v>
      </c>
      <c r="K7" s="446">
        <v>5590</v>
      </c>
      <c r="L7" s="446">
        <v>570</v>
      </c>
      <c r="M7" s="446">
        <v>1835</v>
      </c>
      <c r="N7" s="446">
        <v>3104</v>
      </c>
      <c r="O7" s="446">
        <v>0.101967799642218</v>
      </c>
      <c r="P7" s="446">
        <v>0.328264758497317</v>
      </c>
      <c r="Q7" s="446">
        <v>0.555277280858676</v>
      </c>
      <c r="R7" s="446">
        <v>5590</v>
      </c>
      <c r="S7" s="446">
        <v>881</v>
      </c>
      <c r="T7" s="446">
        <v>127</v>
      </c>
      <c r="U7" s="446">
        <v>153</v>
      </c>
      <c r="V7" s="446">
        <v>4</v>
      </c>
      <c r="W7" s="446">
        <v>1165</v>
      </c>
      <c r="X7" s="446">
        <v>2557</v>
      </c>
      <c r="Y7" s="446">
        <v>364</v>
      </c>
      <c r="Z7" s="446">
        <v>57</v>
      </c>
      <c r="AA7" s="446">
        <v>84</v>
      </c>
      <c r="AB7" s="446">
        <v>2</v>
      </c>
      <c r="AC7" s="446">
        <v>507</v>
      </c>
      <c r="AD7" s="446">
        <v>3033</v>
      </c>
      <c r="AE7" s="446">
        <v>517</v>
      </c>
      <c r="AF7" s="446">
        <v>70</v>
      </c>
      <c r="AG7" s="446">
        <v>69</v>
      </c>
      <c r="AH7" s="446">
        <v>2</v>
      </c>
      <c r="AI7" s="446">
        <v>658</v>
      </c>
      <c r="AJ7" s="446">
        <v>0.208407871198569</v>
      </c>
      <c r="AK7" s="446">
        <v>0.109012875536481</v>
      </c>
      <c r="AL7" s="446">
        <v>0.131330472103004</v>
      </c>
      <c r="AM7" s="446">
        <v>0.00343347639484979</v>
      </c>
      <c r="AN7" s="446">
        <v>0.43519313304721</v>
      </c>
      <c r="AO7" s="446">
        <v>0.56480686695279</v>
      </c>
      <c r="AP7" s="446">
        <v>2369</v>
      </c>
      <c r="AQ7" s="446">
        <v>225</v>
      </c>
      <c r="AR7" s="446">
        <v>9</v>
      </c>
      <c r="AS7" s="446">
        <v>0</v>
      </c>
      <c r="AT7" s="446">
        <v>218</v>
      </c>
      <c r="AU7" s="446">
        <v>327</v>
      </c>
      <c r="AV7" s="446">
        <v>8</v>
      </c>
      <c r="AW7" s="446">
        <v>11</v>
      </c>
      <c r="AX7" s="446">
        <v>125</v>
      </c>
      <c r="AY7" s="446">
        <v>304</v>
      </c>
      <c r="AZ7" s="446">
        <v>30</v>
      </c>
      <c r="BA7" s="446">
        <v>16</v>
      </c>
      <c r="BB7" s="446">
        <v>62</v>
      </c>
      <c r="BC7" s="446">
        <v>131</v>
      </c>
      <c r="BD7" s="446">
        <v>82</v>
      </c>
      <c r="BE7" s="446">
        <v>128</v>
      </c>
      <c r="BF7" s="446">
        <v>452</v>
      </c>
      <c r="BG7" s="446">
        <v>38</v>
      </c>
      <c r="BH7" s="446">
        <v>122</v>
      </c>
      <c r="BI7" s="446">
        <v>76</v>
      </c>
      <c r="BJ7" s="446">
        <v>0.0949767834529337</v>
      </c>
      <c r="BK7" s="446">
        <v>0.00379907133811735</v>
      </c>
      <c r="BL7" s="446">
        <v>0</v>
      </c>
      <c r="BM7" s="446">
        <v>0.0920219501899536</v>
      </c>
      <c r="BN7" s="446">
        <v>0.13803292528493</v>
      </c>
      <c r="BO7" s="446">
        <v>0.00337695230054875</v>
      </c>
      <c r="BP7" s="446">
        <v>0.00464330941325454</v>
      </c>
      <c r="BQ7" s="446">
        <v>0.0527648796960743</v>
      </c>
      <c r="BR7" s="446">
        <v>0.128324187420853</v>
      </c>
      <c r="BS7" s="446">
        <v>0.0126635711270578</v>
      </c>
      <c r="BT7" s="446">
        <v>0.00675390460109751</v>
      </c>
      <c r="BU7" s="446">
        <v>0.0261713803292528</v>
      </c>
      <c r="BV7" s="446">
        <v>0.0552975939214859</v>
      </c>
      <c r="BW7" s="446">
        <v>0.0346137610806247</v>
      </c>
      <c r="BX7" s="446">
        <v>0.0540312368087801</v>
      </c>
      <c r="BY7" s="446">
        <v>0.190797804981005</v>
      </c>
      <c r="BZ7" s="446">
        <v>0.0160405234276066</v>
      </c>
      <c r="CA7" s="446">
        <v>0.0514985225833685</v>
      </c>
      <c r="CB7" s="446">
        <v>0.0320810468552132</v>
      </c>
      <c r="CC7" s="446">
        <v>2369</v>
      </c>
      <c r="CD7" s="446">
        <v>2179</v>
      </c>
      <c r="CE7" s="446">
        <v>153</v>
      </c>
      <c r="CF7" s="446">
        <v>27</v>
      </c>
      <c r="CG7" s="446">
        <v>159</v>
      </c>
      <c r="CH7" s="446">
        <v>123</v>
      </c>
      <c r="CI7" s="446">
        <v>32</v>
      </c>
      <c r="CJ7" s="446">
        <v>3</v>
      </c>
      <c r="CK7" s="446">
        <v>0.919797382861967</v>
      </c>
      <c r="CL7" s="446">
        <v>0.0645842127479949</v>
      </c>
      <c r="CM7" s="446">
        <v>0.011397214014352</v>
      </c>
      <c r="CN7" s="446">
        <v>0.773584905660377</v>
      </c>
      <c r="CO7" s="446">
        <v>0.20125786163522</v>
      </c>
      <c r="CP7" s="446">
        <v>0.0188679245283019</v>
      </c>
    </row>
    <row r="8" ht="16" customHeight="1">
      <c r="A8" t="s" s="447">
        <v>441</v>
      </c>
      <c r="B8" t="s" s="447">
        <v>155</v>
      </c>
      <c r="C8" t="s" s="447">
        <v>442</v>
      </c>
      <c r="D8" s="448">
        <v>7930</v>
      </c>
      <c r="E8" s="448">
        <v>3448</v>
      </c>
      <c r="F8" s="448">
        <v>1208</v>
      </c>
      <c r="G8" s="448">
        <v>1204</v>
      </c>
      <c r="H8" s="448">
        <v>0.434804539722572</v>
      </c>
      <c r="I8" s="448">
        <v>0.152332912988651</v>
      </c>
      <c r="J8" s="448">
        <v>0.151828499369483</v>
      </c>
      <c r="K8" s="448">
        <v>18210</v>
      </c>
      <c r="L8" s="448">
        <v>1543</v>
      </c>
      <c r="M8" s="448">
        <v>7468</v>
      </c>
      <c r="N8" s="448">
        <v>8414</v>
      </c>
      <c r="O8" s="448">
        <v>0.0847336628226249</v>
      </c>
      <c r="P8" s="448">
        <v>0.410104338275673</v>
      </c>
      <c r="Q8" s="448">
        <v>0.462053816584294</v>
      </c>
      <c r="R8" s="448">
        <v>18210</v>
      </c>
      <c r="S8" s="448">
        <v>3071</v>
      </c>
      <c r="T8" s="448">
        <v>894</v>
      </c>
      <c r="U8" s="448">
        <v>862</v>
      </c>
      <c r="V8" s="448">
        <v>35</v>
      </c>
      <c r="W8" s="448">
        <v>4862</v>
      </c>
      <c r="X8" s="448">
        <v>8582</v>
      </c>
      <c r="Y8" s="448">
        <v>1345</v>
      </c>
      <c r="Z8" s="448">
        <v>435</v>
      </c>
      <c r="AA8" s="448">
        <v>502</v>
      </c>
      <c r="AB8" s="448">
        <v>21</v>
      </c>
      <c r="AC8" s="448">
        <v>2303</v>
      </c>
      <c r="AD8" s="448">
        <v>9628</v>
      </c>
      <c r="AE8" s="448">
        <v>1726</v>
      </c>
      <c r="AF8" s="448">
        <v>459</v>
      </c>
      <c r="AG8" s="448">
        <v>360</v>
      </c>
      <c r="AH8" s="448">
        <v>14</v>
      </c>
      <c r="AI8" s="448">
        <v>2559</v>
      </c>
      <c r="AJ8" s="448">
        <v>0.266996155958265</v>
      </c>
      <c r="AK8" s="448">
        <v>0.183874948580831</v>
      </c>
      <c r="AL8" s="448">
        <v>0.177293294940354</v>
      </c>
      <c r="AM8" s="448">
        <v>0.0071986836692719</v>
      </c>
      <c r="AN8" s="448">
        <v>0.473673385438091</v>
      </c>
      <c r="AO8" s="448">
        <v>0.526326614561909</v>
      </c>
      <c r="AP8" s="448">
        <v>8477</v>
      </c>
      <c r="AQ8" s="448">
        <v>377</v>
      </c>
      <c r="AR8" s="448">
        <v>28</v>
      </c>
      <c r="AS8" s="448">
        <v>2</v>
      </c>
      <c r="AT8" s="448">
        <v>548</v>
      </c>
      <c r="AU8" s="448">
        <v>1134</v>
      </c>
      <c r="AV8" s="448">
        <v>73</v>
      </c>
      <c r="AW8" s="448">
        <v>58</v>
      </c>
      <c r="AX8" s="448">
        <v>427</v>
      </c>
      <c r="AY8" s="448">
        <v>1183</v>
      </c>
      <c r="AZ8" s="448">
        <v>194</v>
      </c>
      <c r="BA8" s="448">
        <v>81</v>
      </c>
      <c r="BB8" s="448">
        <v>171</v>
      </c>
      <c r="BC8" s="448">
        <v>417</v>
      </c>
      <c r="BD8" s="448">
        <v>312</v>
      </c>
      <c r="BE8" s="448">
        <v>570</v>
      </c>
      <c r="BF8" s="448">
        <v>1696</v>
      </c>
      <c r="BG8" s="448">
        <v>163</v>
      </c>
      <c r="BH8" s="448">
        <v>479</v>
      </c>
      <c r="BI8" s="448">
        <v>551</v>
      </c>
      <c r="BJ8" s="448">
        <v>0.0444732806417365</v>
      </c>
      <c r="BK8" s="448">
        <v>0.00330305532617671</v>
      </c>
      <c r="BL8" s="448">
        <v>0.000235932523298337</v>
      </c>
      <c r="BM8" s="448">
        <v>0.06464551138374421</v>
      </c>
      <c r="BN8" s="448">
        <v>0.133773740710157</v>
      </c>
      <c r="BO8" s="448">
        <v>0.00861153710038929</v>
      </c>
      <c r="BP8" s="448">
        <v>0.00684204317565176</v>
      </c>
      <c r="BQ8" s="448">
        <v>0.0503715937241949</v>
      </c>
      <c r="BR8" s="448">
        <v>0.139554087530966</v>
      </c>
      <c r="BS8" s="448">
        <v>0.0228854547599387</v>
      </c>
      <c r="BT8" s="448">
        <v>0.00955526719358264</v>
      </c>
      <c r="BU8" s="448">
        <v>0.0201722307420078</v>
      </c>
      <c r="BV8" s="448">
        <v>0.0491919311077032</v>
      </c>
      <c r="BW8" s="448">
        <v>0.0368054736345405</v>
      </c>
      <c r="BX8" s="448">
        <v>0.067240769140026</v>
      </c>
      <c r="BY8" s="448">
        <v>0.20007077975699</v>
      </c>
      <c r="BZ8" s="448">
        <v>0.0192285006488144</v>
      </c>
      <c r="CA8" s="448">
        <v>0.0565058393299516</v>
      </c>
      <c r="CB8" s="448">
        <v>0.06499941016869169</v>
      </c>
      <c r="CC8" s="448">
        <v>8477</v>
      </c>
      <c r="CD8" s="448">
        <v>7776</v>
      </c>
      <c r="CE8" s="448">
        <v>541</v>
      </c>
      <c r="CF8" s="448">
        <v>128</v>
      </c>
      <c r="CG8" s="448">
        <v>784</v>
      </c>
      <c r="CH8" s="448">
        <v>650</v>
      </c>
      <c r="CI8" s="448">
        <v>116</v>
      </c>
      <c r="CJ8" s="448">
        <v>8</v>
      </c>
      <c r="CK8" s="448">
        <v>0.917305650583933</v>
      </c>
      <c r="CL8" s="448">
        <v>0.0638197475522001</v>
      </c>
      <c r="CM8" s="448">
        <v>0.0150996814910935</v>
      </c>
      <c r="CN8" s="448">
        <v>0.829081632653061</v>
      </c>
      <c r="CO8" s="448">
        <v>0.147959183673469</v>
      </c>
      <c r="CP8" s="448">
        <v>0.0102040816326531</v>
      </c>
    </row>
    <row r="9" ht="16" customHeight="1">
      <c r="A9" t="s" s="447">
        <v>443</v>
      </c>
      <c r="B9" t="s" s="447">
        <v>155</v>
      </c>
      <c r="C9" t="s" s="447">
        <v>444</v>
      </c>
      <c r="D9" s="448">
        <v>2464</v>
      </c>
      <c r="E9" s="448">
        <v>1345</v>
      </c>
      <c r="F9" s="448">
        <v>386</v>
      </c>
      <c r="G9" s="448">
        <v>582</v>
      </c>
      <c r="H9" s="448">
        <v>0.54586038961039</v>
      </c>
      <c r="I9" s="448">
        <v>0.156655844155844</v>
      </c>
      <c r="J9" s="448">
        <v>0.236201298701299</v>
      </c>
      <c r="K9" s="448">
        <v>4844</v>
      </c>
      <c r="L9" s="448">
        <v>448</v>
      </c>
      <c r="M9" s="448">
        <v>1716</v>
      </c>
      <c r="N9" s="448">
        <v>2489</v>
      </c>
      <c r="O9" s="448">
        <v>0.092485549132948</v>
      </c>
      <c r="P9" s="448">
        <v>0.354252683732453</v>
      </c>
      <c r="Q9" s="448">
        <v>0.513831544178365</v>
      </c>
      <c r="R9" s="448">
        <v>4844</v>
      </c>
      <c r="S9" s="448">
        <v>670</v>
      </c>
      <c r="T9" s="448">
        <v>168</v>
      </c>
      <c r="U9" s="448">
        <v>177</v>
      </c>
      <c r="V9" s="448">
        <v>28</v>
      </c>
      <c r="W9" s="448">
        <v>1043</v>
      </c>
      <c r="X9" s="448">
        <v>2243</v>
      </c>
      <c r="Y9" s="448">
        <v>301</v>
      </c>
      <c r="Z9" s="448">
        <v>77</v>
      </c>
      <c r="AA9" s="448">
        <v>99</v>
      </c>
      <c r="AB9" s="448">
        <v>13</v>
      </c>
      <c r="AC9" s="448">
        <v>490</v>
      </c>
      <c r="AD9" s="448">
        <v>2601</v>
      </c>
      <c r="AE9" s="448">
        <v>369</v>
      </c>
      <c r="AF9" s="448">
        <v>91</v>
      </c>
      <c r="AG9" s="448">
        <v>78</v>
      </c>
      <c r="AH9" s="448">
        <v>15</v>
      </c>
      <c r="AI9" s="448">
        <v>553</v>
      </c>
      <c r="AJ9" s="448">
        <v>0.215317919075144</v>
      </c>
      <c r="AK9" s="448">
        <v>0.161073825503356</v>
      </c>
      <c r="AL9" s="448">
        <v>0.169702780441035</v>
      </c>
      <c r="AM9" s="448">
        <v>0.0268456375838926</v>
      </c>
      <c r="AN9" s="448">
        <v>0.469798657718121</v>
      </c>
      <c r="AO9" s="448">
        <v>0.530201342281879</v>
      </c>
      <c r="AP9" s="448">
        <v>2184</v>
      </c>
      <c r="AQ9" s="448">
        <v>61</v>
      </c>
      <c r="AR9" s="448">
        <v>41</v>
      </c>
      <c r="AS9" s="448">
        <v>1</v>
      </c>
      <c r="AT9" s="448">
        <v>138</v>
      </c>
      <c r="AU9" s="448">
        <v>270</v>
      </c>
      <c r="AV9" s="448">
        <v>7</v>
      </c>
      <c r="AW9" s="448">
        <v>27</v>
      </c>
      <c r="AX9" s="448">
        <v>131</v>
      </c>
      <c r="AY9" s="448">
        <v>369</v>
      </c>
      <c r="AZ9" s="448">
        <v>53</v>
      </c>
      <c r="BA9" s="448">
        <v>25</v>
      </c>
      <c r="BB9" s="448">
        <v>52</v>
      </c>
      <c r="BC9" s="448">
        <v>186</v>
      </c>
      <c r="BD9" s="448">
        <v>90</v>
      </c>
      <c r="BE9" s="448">
        <v>72</v>
      </c>
      <c r="BF9" s="448">
        <v>397</v>
      </c>
      <c r="BG9" s="448">
        <v>35</v>
      </c>
      <c r="BH9" s="448">
        <v>160</v>
      </c>
      <c r="BI9" s="448">
        <v>65</v>
      </c>
      <c r="BJ9" s="448">
        <v>0.0279304029304029</v>
      </c>
      <c r="BK9" s="448">
        <v>0.0187728937728938</v>
      </c>
      <c r="BL9" s="448">
        <v>0.000457875457875458</v>
      </c>
      <c r="BM9" s="448">
        <v>0.0631868131868132</v>
      </c>
      <c r="BN9" s="448">
        <v>0.123626373626374</v>
      </c>
      <c r="BO9" s="448">
        <v>0.00320512820512821</v>
      </c>
      <c r="BP9" s="448">
        <v>0.0123626373626374</v>
      </c>
      <c r="BQ9" s="448">
        <v>0.059981684981685</v>
      </c>
      <c r="BR9" s="448">
        <v>0.168956043956044</v>
      </c>
      <c r="BS9" s="448">
        <v>0.0242673992673993</v>
      </c>
      <c r="BT9" s="448">
        <v>0.0114468864468864</v>
      </c>
      <c r="BU9" s="448">
        <v>0.0238095238095238</v>
      </c>
      <c r="BV9" s="448">
        <v>0.0851648351648352</v>
      </c>
      <c r="BW9" s="448">
        <v>0.0412087912087912</v>
      </c>
      <c r="BX9" s="448">
        <v>0.032967032967033</v>
      </c>
      <c r="BY9" s="448">
        <v>0.181776556776557</v>
      </c>
      <c r="BZ9" s="448">
        <v>0.016025641025641</v>
      </c>
      <c r="CA9" s="448">
        <v>0.07326007326007331</v>
      </c>
      <c r="CB9" s="448">
        <v>0.0297619047619048</v>
      </c>
      <c r="CC9" s="448">
        <v>2184</v>
      </c>
      <c r="CD9" s="448">
        <v>2006</v>
      </c>
      <c r="CE9" s="448">
        <v>114</v>
      </c>
      <c r="CF9" s="448">
        <v>53</v>
      </c>
      <c r="CG9" s="448">
        <v>176</v>
      </c>
      <c r="CH9" s="448">
        <v>155</v>
      </c>
      <c r="CI9" s="448">
        <v>18</v>
      </c>
      <c r="CJ9" s="448">
        <v>3</v>
      </c>
      <c r="CK9" s="448">
        <v>0.918498168498168</v>
      </c>
      <c r="CL9" s="448">
        <v>0.0521978021978022</v>
      </c>
      <c r="CM9" s="448">
        <v>0.0242673992673993</v>
      </c>
      <c r="CN9" s="448">
        <v>0.880681818181818</v>
      </c>
      <c r="CO9" s="448">
        <v>0.102272727272727</v>
      </c>
      <c r="CP9" s="448">
        <v>0.0170454545454545</v>
      </c>
    </row>
    <row r="10" ht="16" customHeight="1">
      <c r="A10" t="s" s="447">
        <v>445</v>
      </c>
      <c r="B10" t="s" s="447">
        <v>155</v>
      </c>
      <c r="C10" t="s" s="447">
        <v>446</v>
      </c>
      <c r="D10" s="448">
        <v>1678</v>
      </c>
      <c r="E10" s="448">
        <v>963</v>
      </c>
      <c r="F10" s="448">
        <v>341</v>
      </c>
      <c r="G10" s="448">
        <v>287</v>
      </c>
      <c r="H10" s="448">
        <v>0.573897497020262</v>
      </c>
      <c r="I10" s="448">
        <v>0.203218116805721</v>
      </c>
      <c r="J10" s="448">
        <v>0.17103694874851</v>
      </c>
      <c r="K10" s="448">
        <v>4655</v>
      </c>
      <c r="L10" s="448">
        <v>406</v>
      </c>
      <c r="M10" s="448">
        <v>1697</v>
      </c>
      <c r="N10" s="448">
        <v>2443</v>
      </c>
      <c r="O10" s="448">
        <v>0.087218045112782</v>
      </c>
      <c r="P10" s="448">
        <v>0.364554242749731</v>
      </c>
      <c r="Q10" s="448">
        <v>0.524812030075188</v>
      </c>
      <c r="R10" s="448">
        <v>4655</v>
      </c>
      <c r="S10" s="448">
        <v>811</v>
      </c>
      <c r="T10" s="448">
        <v>155</v>
      </c>
      <c r="U10" s="448">
        <v>148</v>
      </c>
      <c r="V10" s="448">
        <v>1</v>
      </c>
      <c r="W10" s="448">
        <v>1115</v>
      </c>
      <c r="X10" s="448">
        <v>2262</v>
      </c>
      <c r="Y10" s="448">
        <v>372</v>
      </c>
      <c r="Z10" s="448">
        <v>82</v>
      </c>
      <c r="AA10" s="448">
        <v>101</v>
      </c>
      <c r="AB10" s="448">
        <v>1</v>
      </c>
      <c r="AC10" s="448">
        <v>556</v>
      </c>
      <c r="AD10" s="448">
        <v>2393</v>
      </c>
      <c r="AE10" s="448">
        <v>439</v>
      </c>
      <c r="AF10" s="448">
        <v>73</v>
      </c>
      <c r="AG10" s="448">
        <v>47</v>
      </c>
      <c r="AH10" s="448">
        <v>0</v>
      </c>
      <c r="AI10" s="448">
        <v>559</v>
      </c>
      <c r="AJ10" s="448">
        <v>0.23952738990333</v>
      </c>
      <c r="AK10" s="448">
        <v>0.139013452914798</v>
      </c>
      <c r="AL10" s="448">
        <v>0.132735426008969</v>
      </c>
      <c r="AM10" s="448">
        <v>0.000896860986547085</v>
      </c>
      <c r="AN10" s="448">
        <v>0.498654708520179</v>
      </c>
      <c r="AO10" s="448">
        <v>0.501345291479821</v>
      </c>
      <c r="AP10" s="448">
        <v>1851</v>
      </c>
      <c r="AQ10" s="448">
        <v>171</v>
      </c>
      <c r="AR10" s="448">
        <v>9</v>
      </c>
      <c r="AS10" s="448">
        <v>0</v>
      </c>
      <c r="AT10" s="448">
        <v>169</v>
      </c>
      <c r="AU10" s="448">
        <v>278</v>
      </c>
      <c r="AV10" s="448">
        <v>12</v>
      </c>
      <c r="AW10" s="448">
        <v>7</v>
      </c>
      <c r="AX10" s="448">
        <v>101</v>
      </c>
      <c r="AY10" s="448">
        <v>210</v>
      </c>
      <c r="AZ10" s="448">
        <v>29</v>
      </c>
      <c r="BA10" s="448">
        <v>12</v>
      </c>
      <c r="BB10" s="448">
        <v>34</v>
      </c>
      <c r="BC10" s="448">
        <v>73</v>
      </c>
      <c r="BD10" s="448">
        <v>48</v>
      </c>
      <c r="BE10" s="448">
        <v>75</v>
      </c>
      <c r="BF10" s="448">
        <v>395</v>
      </c>
      <c r="BG10" s="448">
        <v>34</v>
      </c>
      <c r="BH10" s="448">
        <v>117</v>
      </c>
      <c r="BI10" s="448">
        <v>76</v>
      </c>
      <c r="BJ10" s="448">
        <v>0.09238249594813611</v>
      </c>
      <c r="BK10" s="448">
        <v>0.00486223662884927</v>
      </c>
      <c r="BL10" s="448">
        <v>0</v>
      </c>
      <c r="BM10" s="448">
        <v>0.091301998919503</v>
      </c>
      <c r="BN10" s="448">
        <v>0.150189086980011</v>
      </c>
      <c r="BO10" s="448">
        <v>0.00648298217179903</v>
      </c>
      <c r="BP10" s="448">
        <v>0.0037817396002161</v>
      </c>
      <c r="BQ10" s="448">
        <v>0.0545650999459752</v>
      </c>
      <c r="BR10" s="448">
        <v>0.113452188006483</v>
      </c>
      <c r="BS10" s="448">
        <v>0.015667206915181</v>
      </c>
      <c r="BT10" s="448">
        <v>0.00648298217179903</v>
      </c>
      <c r="BU10" s="448">
        <v>0.0183684494867639</v>
      </c>
      <c r="BV10" s="448">
        <v>0.0394381415451108</v>
      </c>
      <c r="BW10" s="448">
        <v>0.0259319286871961</v>
      </c>
      <c r="BX10" s="448">
        <v>0.0405186385737439</v>
      </c>
      <c r="BY10" s="448">
        <v>0.213398163155051</v>
      </c>
      <c r="BZ10" s="448">
        <v>0.0183684494867639</v>
      </c>
      <c r="CA10" s="448">
        <v>0.0632090761750405</v>
      </c>
      <c r="CB10" s="448">
        <v>0.0410588870880605</v>
      </c>
      <c r="CC10" s="448">
        <v>1851</v>
      </c>
      <c r="CD10" s="448">
        <v>1707</v>
      </c>
      <c r="CE10" s="448">
        <v>115</v>
      </c>
      <c r="CF10" s="448">
        <v>25</v>
      </c>
      <c r="CG10" s="448">
        <v>197</v>
      </c>
      <c r="CH10" s="448">
        <v>180</v>
      </c>
      <c r="CI10" s="448">
        <v>14</v>
      </c>
      <c r="CJ10" s="448">
        <v>0</v>
      </c>
      <c r="CK10" s="448">
        <v>0.922204213938412</v>
      </c>
      <c r="CL10" s="448">
        <v>0.0621285791464073</v>
      </c>
      <c r="CM10" s="448">
        <v>0.0135062128579146</v>
      </c>
      <c r="CN10" s="448">
        <v>0.913705583756345</v>
      </c>
      <c r="CO10" s="448">
        <v>0.0710659898477157</v>
      </c>
      <c r="CP10" s="448">
        <v>0</v>
      </c>
    </row>
    <row r="11" ht="16" customHeight="1">
      <c r="A11" t="s" s="447">
        <v>206</v>
      </c>
      <c r="B11" t="s" s="447">
        <v>155</v>
      </c>
      <c r="C11" t="s" s="447">
        <v>8</v>
      </c>
      <c r="D11" s="448">
        <v>1467</v>
      </c>
      <c r="E11" s="448">
        <v>1011</v>
      </c>
      <c r="F11" s="448">
        <v>339</v>
      </c>
      <c r="G11" s="448">
        <v>341</v>
      </c>
      <c r="H11" s="448">
        <v>0.689161554192229</v>
      </c>
      <c r="I11" s="448">
        <v>0.231083844580777</v>
      </c>
      <c r="J11" s="448">
        <v>0.232447171097478</v>
      </c>
      <c r="K11" s="448">
        <v>3046</v>
      </c>
      <c r="L11" s="448">
        <v>538</v>
      </c>
      <c r="M11" s="448">
        <v>514</v>
      </c>
      <c r="N11" s="448">
        <v>1930</v>
      </c>
      <c r="O11" s="448">
        <v>0.176625082074852</v>
      </c>
      <c r="P11" s="448">
        <v>0.168745896257387</v>
      </c>
      <c r="Q11" s="448">
        <v>0.633617859487853</v>
      </c>
      <c r="R11" s="448">
        <v>3046</v>
      </c>
      <c r="S11" s="448">
        <v>128</v>
      </c>
      <c r="T11" s="448">
        <v>38</v>
      </c>
      <c r="U11" s="448">
        <v>73</v>
      </c>
      <c r="V11" s="448">
        <v>50</v>
      </c>
      <c r="W11" s="448">
        <v>289</v>
      </c>
      <c r="X11" s="448">
        <v>1463</v>
      </c>
      <c r="Y11" s="448">
        <v>61</v>
      </c>
      <c r="Z11" s="448">
        <v>19</v>
      </c>
      <c r="AA11" s="448">
        <v>38</v>
      </c>
      <c r="AB11" s="448">
        <v>33</v>
      </c>
      <c r="AC11" s="448">
        <v>151</v>
      </c>
      <c r="AD11" s="448">
        <v>1583</v>
      </c>
      <c r="AE11" s="448">
        <v>67</v>
      </c>
      <c r="AF11" s="448">
        <v>19</v>
      </c>
      <c r="AG11" s="448">
        <v>35</v>
      </c>
      <c r="AH11" s="448">
        <v>17</v>
      </c>
      <c r="AI11" s="448">
        <v>138</v>
      </c>
      <c r="AJ11" s="448">
        <v>0.09487852921864739</v>
      </c>
      <c r="AK11" s="448">
        <v>0.131487889273356</v>
      </c>
      <c r="AL11" s="448">
        <v>0.252595155709343</v>
      </c>
      <c r="AM11" s="448">
        <v>0.173010380622837</v>
      </c>
      <c r="AN11" s="448">
        <v>0.522491349480969</v>
      </c>
      <c r="AO11" s="448">
        <v>0.477508650519031</v>
      </c>
      <c r="AP11" s="448">
        <v>1412</v>
      </c>
      <c r="AQ11" s="448">
        <v>322</v>
      </c>
      <c r="AR11" s="448">
        <v>34</v>
      </c>
      <c r="AS11" s="448">
        <v>1</v>
      </c>
      <c r="AT11" s="448">
        <v>94</v>
      </c>
      <c r="AU11" s="448">
        <v>159</v>
      </c>
      <c r="AV11" s="448">
        <v>4</v>
      </c>
      <c r="AW11" s="448">
        <v>2</v>
      </c>
      <c r="AX11" s="448">
        <v>63</v>
      </c>
      <c r="AY11" s="448">
        <v>176</v>
      </c>
      <c r="AZ11" s="448">
        <v>14</v>
      </c>
      <c r="BA11" s="448">
        <v>9</v>
      </c>
      <c r="BB11" s="448">
        <v>22</v>
      </c>
      <c r="BC11" s="448">
        <v>52</v>
      </c>
      <c r="BD11" s="448">
        <v>41</v>
      </c>
      <c r="BE11" s="448">
        <v>29</v>
      </c>
      <c r="BF11" s="448">
        <v>207</v>
      </c>
      <c r="BG11" s="448">
        <v>29</v>
      </c>
      <c r="BH11" s="448">
        <v>88</v>
      </c>
      <c r="BI11" s="448">
        <v>33</v>
      </c>
      <c r="BJ11" s="448">
        <v>0.228045325779037</v>
      </c>
      <c r="BK11" s="448">
        <v>0.0240793201133144</v>
      </c>
      <c r="BL11" s="448">
        <v>0.000708215297450425</v>
      </c>
      <c r="BM11" s="448">
        <v>0.0665722379603399</v>
      </c>
      <c r="BN11" s="448">
        <v>0.112606232294618</v>
      </c>
      <c r="BO11" s="448">
        <v>0.0028328611898017</v>
      </c>
      <c r="BP11" s="448">
        <v>0.00141643059490085</v>
      </c>
      <c r="BQ11" s="448">
        <v>0.0446175637393768</v>
      </c>
      <c r="BR11" s="448">
        <v>0.124645892351275</v>
      </c>
      <c r="BS11" s="448">
        <v>0.009915014164305951</v>
      </c>
      <c r="BT11" s="448">
        <v>0.00637393767705382</v>
      </c>
      <c r="BU11" s="448">
        <v>0.0155807365439093</v>
      </c>
      <c r="BV11" s="448">
        <v>0.0368271954674221</v>
      </c>
      <c r="BW11" s="448">
        <v>0.0290368271954674</v>
      </c>
      <c r="BX11" s="448">
        <v>0.0205382436260623</v>
      </c>
      <c r="BY11" s="448">
        <v>0.146600566572238</v>
      </c>
      <c r="BZ11" s="448">
        <v>0.0205382436260623</v>
      </c>
      <c r="CA11" s="448">
        <v>0.0623229461756374</v>
      </c>
      <c r="CB11" s="448">
        <v>0.023371104815864</v>
      </c>
      <c r="CC11" s="448">
        <v>1412</v>
      </c>
      <c r="CD11" s="448">
        <v>1285</v>
      </c>
      <c r="CE11" s="448">
        <v>58</v>
      </c>
      <c r="CF11" s="448">
        <v>35</v>
      </c>
      <c r="CG11" s="448">
        <v>73</v>
      </c>
      <c r="CH11" s="448">
        <v>57</v>
      </c>
      <c r="CI11" s="448">
        <v>12</v>
      </c>
      <c r="CJ11" s="448">
        <v>3</v>
      </c>
      <c r="CK11" s="448">
        <v>0.910056657223796</v>
      </c>
      <c r="CL11" s="448">
        <v>0.0410764872521246</v>
      </c>
      <c r="CM11" s="448">
        <v>0.0247875354107649</v>
      </c>
      <c r="CN11" s="448">
        <v>0.780821917808219</v>
      </c>
      <c r="CO11" s="448">
        <v>0.164383561643836</v>
      </c>
      <c r="CP11" s="448">
        <v>0.0410958904109589</v>
      </c>
    </row>
    <row r="12" ht="16" customHeight="1">
      <c r="A12" t="s" s="447">
        <v>447</v>
      </c>
      <c r="B12" t="s" s="447">
        <v>155</v>
      </c>
      <c r="C12" t="s" s="447">
        <v>448</v>
      </c>
      <c r="D12" s="448">
        <v>354</v>
      </c>
      <c r="E12" s="448">
        <v>246</v>
      </c>
      <c r="F12" s="448">
        <v>82</v>
      </c>
      <c r="G12" s="448">
        <v>79</v>
      </c>
      <c r="H12" s="448">
        <v>0.6949152542372879</v>
      </c>
      <c r="I12" s="448">
        <v>0.231638418079096</v>
      </c>
      <c r="J12" s="448">
        <v>0.22316384180791</v>
      </c>
      <c r="K12" s="448">
        <v>765</v>
      </c>
      <c r="L12" s="448">
        <v>110</v>
      </c>
      <c r="M12" s="448">
        <v>165</v>
      </c>
      <c r="N12" s="448">
        <v>478</v>
      </c>
      <c r="O12" s="448">
        <v>0.143790849673203</v>
      </c>
      <c r="P12" s="448">
        <v>0.215686274509804</v>
      </c>
      <c r="Q12" s="448">
        <v>0.62483660130719</v>
      </c>
      <c r="R12" s="448">
        <v>765</v>
      </c>
      <c r="S12" s="448">
        <v>18</v>
      </c>
      <c r="T12" s="448">
        <v>28</v>
      </c>
      <c r="U12" s="448">
        <v>31</v>
      </c>
      <c r="V12" s="448">
        <v>0</v>
      </c>
      <c r="W12" s="448">
        <v>77</v>
      </c>
      <c r="X12" s="448">
        <v>377</v>
      </c>
      <c r="Y12" s="448">
        <v>11</v>
      </c>
      <c r="Z12" s="448">
        <v>15</v>
      </c>
      <c r="AA12" s="448">
        <v>18</v>
      </c>
      <c r="AB12" s="448">
        <v>0</v>
      </c>
      <c r="AC12" s="448">
        <v>44</v>
      </c>
      <c r="AD12" s="448">
        <v>388</v>
      </c>
      <c r="AE12" s="448">
        <v>7</v>
      </c>
      <c r="AF12" s="448">
        <v>13</v>
      </c>
      <c r="AG12" s="448">
        <v>13</v>
      </c>
      <c r="AH12" s="448">
        <v>0</v>
      </c>
      <c r="AI12" s="448">
        <v>33</v>
      </c>
      <c r="AJ12" s="448">
        <v>0.100653594771242</v>
      </c>
      <c r="AK12" s="448">
        <v>0.363636363636364</v>
      </c>
      <c r="AL12" s="448">
        <v>0.402597402597403</v>
      </c>
      <c r="AM12" s="448">
        <v>0</v>
      </c>
      <c r="AN12" s="448">
        <v>0.571428571428571</v>
      </c>
      <c r="AO12" s="448">
        <v>0.428571428571429</v>
      </c>
      <c r="AP12" s="448">
        <v>365</v>
      </c>
      <c r="AQ12" s="448">
        <v>56</v>
      </c>
      <c r="AR12" s="448">
        <v>56</v>
      </c>
      <c r="AS12" s="448">
        <v>0</v>
      </c>
      <c r="AT12" s="448">
        <v>25</v>
      </c>
      <c r="AU12" s="448">
        <v>45</v>
      </c>
      <c r="AV12" s="448">
        <v>1</v>
      </c>
      <c r="AW12" s="448">
        <v>2</v>
      </c>
      <c r="AX12" s="448">
        <v>13</v>
      </c>
      <c r="AY12" s="448">
        <v>32</v>
      </c>
      <c r="AZ12" s="448">
        <v>3</v>
      </c>
      <c r="BA12" s="448">
        <v>2</v>
      </c>
      <c r="BB12" s="448">
        <v>6</v>
      </c>
      <c r="BC12" s="448">
        <v>31</v>
      </c>
      <c r="BD12" s="448">
        <v>13</v>
      </c>
      <c r="BE12" s="448">
        <v>8</v>
      </c>
      <c r="BF12" s="448">
        <v>34</v>
      </c>
      <c r="BG12" s="448">
        <v>1</v>
      </c>
      <c r="BH12" s="448">
        <v>26</v>
      </c>
      <c r="BI12" s="448">
        <v>11</v>
      </c>
      <c r="BJ12" s="448">
        <v>0.153424657534247</v>
      </c>
      <c r="BK12" s="448">
        <v>0.153424657534247</v>
      </c>
      <c r="BL12" s="448">
        <v>0</v>
      </c>
      <c r="BM12" s="448">
        <v>0.0684931506849315</v>
      </c>
      <c r="BN12" s="448">
        <v>0.123287671232877</v>
      </c>
      <c r="BO12" s="448">
        <v>0.00273972602739726</v>
      </c>
      <c r="BP12" s="448">
        <v>0.00547945205479452</v>
      </c>
      <c r="BQ12" s="448">
        <v>0.0356164383561644</v>
      </c>
      <c r="BR12" s="448">
        <v>0.0876712328767123</v>
      </c>
      <c r="BS12" s="448">
        <v>0.00821917808219178</v>
      </c>
      <c r="BT12" s="448">
        <v>0.00547945205479452</v>
      </c>
      <c r="BU12" s="448">
        <v>0.0164383561643836</v>
      </c>
      <c r="BV12" s="448">
        <v>0.08493150684931509</v>
      </c>
      <c r="BW12" s="448">
        <v>0.0356164383561644</v>
      </c>
      <c r="BX12" s="448">
        <v>0.0219178082191781</v>
      </c>
      <c r="BY12" s="448">
        <v>0.0931506849315069</v>
      </c>
      <c r="BZ12" s="448">
        <v>0.00273972602739726</v>
      </c>
      <c r="CA12" s="448">
        <v>0.07123287671232879</v>
      </c>
      <c r="CB12" s="448">
        <v>0.0301369863013699</v>
      </c>
      <c r="CC12" s="448">
        <v>365</v>
      </c>
      <c r="CD12" s="448">
        <v>291</v>
      </c>
      <c r="CE12" s="448">
        <v>71</v>
      </c>
      <c r="CF12" s="448">
        <v>2</v>
      </c>
      <c r="CG12" s="448">
        <v>29</v>
      </c>
      <c r="CH12" s="448">
        <v>17</v>
      </c>
      <c r="CI12" s="448">
        <v>12</v>
      </c>
      <c r="CJ12" s="448">
        <v>0</v>
      </c>
      <c r="CK12" s="448">
        <v>0.797260273972603</v>
      </c>
      <c r="CL12" s="448">
        <v>0.194520547945205</v>
      </c>
      <c r="CM12" s="448">
        <v>0.00547945205479452</v>
      </c>
      <c r="CN12" s="448">
        <v>0.586206896551724</v>
      </c>
      <c r="CO12" s="448">
        <v>0.413793103448276</v>
      </c>
      <c r="CP12" s="448">
        <v>0</v>
      </c>
    </row>
    <row r="13" ht="16" customHeight="1">
      <c r="A13" t="s" s="447">
        <v>449</v>
      </c>
      <c r="B13" t="s" s="447">
        <v>155</v>
      </c>
      <c r="C13" t="s" s="447">
        <v>450</v>
      </c>
      <c r="D13" s="448">
        <v>416</v>
      </c>
      <c r="E13" s="448">
        <v>318</v>
      </c>
      <c r="F13" s="448">
        <v>97</v>
      </c>
      <c r="G13" s="448">
        <v>120</v>
      </c>
      <c r="H13" s="448">
        <v>0.764423076923077</v>
      </c>
      <c r="I13" s="448">
        <v>0.233173076923077</v>
      </c>
      <c r="J13" s="448">
        <v>0.288461538461538</v>
      </c>
      <c r="K13" s="448">
        <v>845</v>
      </c>
      <c r="L13" s="448">
        <v>100</v>
      </c>
      <c r="M13" s="448">
        <v>152</v>
      </c>
      <c r="N13" s="448">
        <v>591</v>
      </c>
      <c r="O13" s="448">
        <v>0.118343195266272</v>
      </c>
      <c r="P13" s="448">
        <v>0.179881656804734</v>
      </c>
      <c r="Q13" s="448">
        <v>0.6994082840236689</v>
      </c>
      <c r="R13" s="448">
        <v>845</v>
      </c>
      <c r="S13" s="448">
        <v>43</v>
      </c>
      <c r="T13" s="448">
        <v>14</v>
      </c>
      <c r="U13" s="448">
        <v>28</v>
      </c>
      <c r="V13" s="448">
        <v>3</v>
      </c>
      <c r="W13" s="448">
        <v>88</v>
      </c>
      <c r="X13" s="448">
        <v>382</v>
      </c>
      <c r="Y13" s="448">
        <v>20</v>
      </c>
      <c r="Z13" s="448">
        <v>7</v>
      </c>
      <c r="AA13" s="448">
        <v>15</v>
      </c>
      <c r="AB13" s="448">
        <v>3</v>
      </c>
      <c r="AC13" s="448">
        <v>45</v>
      </c>
      <c r="AD13" s="448">
        <v>463</v>
      </c>
      <c r="AE13" s="448">
        <v>23</v>
      </c>
      <c r="AF13" s="448">
        <v>7</v>
      </c>
      <c r="AG13" s="448">
        <v>13</v>
      </c>
      <c r="AH13" s="448">
        <v>0</v>
      </c>
      <c r="AI13" s="448">
        <v>43</v>
      </c>
      <c r="AJ13" s="448">
        <v>0.10414201183432</v>
      </c>
      <c r="AK13" s="448">
        <v>0.159090909090909</v>
      </c>
      <c r="AL13" s="448">
        <v>0.318181818181818</v>
      </c>
      <c r="AM13" s="448">
        <v>0.0340909090909091</v>
      </c>
      <c r="AN13" s="448">
        <v>0.511363636363636</v>
      </c>
      <c r="AO13" s="448">
        <v>0.488636363636364</v>
      </c>
      <c r="AP13" s="448">
        <v>400</v>
      </c>
      <c r="AQ13" s="448">
        <v>94</v>
      </c>
      <c r="AR13" s="448">
        <v>2</v>
      </c>
      <c r="AS13" s="448">
        <v>0</v>
      </c>
      <c r="AT13" s="448">
        <v>30</v>
      </c>
      <c r="AU13" s="448">
        <v>58</v>
      </c>
      <c r="AV13" s="448">
        <v>0</v>
      </c>
      <c r="AW13" s="448">
        <v>1</v>
      </c>
      <c r="AX13" s="448">
        <v>20</v>
      </c>
      <c r="AY13" s="448">
        <v>52</v>
      </c>
      <c r="AZ13" s="448">
        <v>1</v>
      </c>
      <c r="BA13" s="448">
        <v>2</v>
      </c>
      <c r="BB13" s="448">
        <v>8</v>
      </c>
      <c r="BC13" s="448">
        <v>20</v>
      </c>
      <c r="BD13" s="448">
        <v>10</v>
      </c>
      <c r="BE13" s="448">
        <v>13</v>
      </c>
      <c r="BF13" s="448">
        <v>62</v>
      </c>
      <c r="BG13" s="448">
        <v>5</v>
      </c>
      <c r="BH13" s="448">
        <v>18</v>
      </c>
      <c r="BI13" s="448">
        <v>4</v>
      </c>
      <c r="BJ13" s="448">
        <v>0.235</v>
      </c>
      <c r="BK13" s="448">
        <v>0.005</v>
      </c>
      <c r="BL13" s="448">
        <v>0</v>
      </c>
      <c r="BM13" s="448">
        <v>0.075</v>
      </c>
      <c r="BN13" s="448">
        <v>0.145</v>
      </c>
      <c r="BO13" s="448">
        <v>0</v>
      </c>
      <c r="BP13" s="448">
        <v>0.0025</v>
      </c>
      <c r="BQ13" s="448">
        <v>0.05</v>
      </c>
      <c r="BR13" s="448">
        <v>0.13</v>
      </c>
      <c r="BS13" s="448">
        <v>0.0025</v>
      </c>
      <c r="BT13" s="448">
        <v>0.005</v>
      </c>
      <c r="BU13" s="448">
        <v>0.02</v>
      </c>
      <c r="BV13" s="448">
        <v>0.05</v>
      </c>
      <c r="BW13" s="448">
        <v>0.025</v>
      </c>
      <c r="BX13" s="448">
        <v>0.0325</v>
      </c>
      <c r="BY13" s="448">
        <v>0.155</v>
      </c>
      <c r="BZ13" s="448">
        <v>0.0125</v>
      </c>
      <c r="CA13" s="448">
        <v>0.045</v>
      </c>
      <c r="CB13" s="448">
        <v>0.01</v>
      </c>
      <c r="CC13" s="448">
        <v>400</v>
      </c>
      <c r="CD13" s="448">
        <v>375</v>
      </c>
      <c r="CE13" s="448">
        <v>23</v>
      </c>
      <c r="CF13" s="448">
        <v>1</v>
      </c>
      <c r="CG13" s="448">
        <v>15</v>
      </c>
      <c r="CH13" s="448">
        <v>8</v>
      </c>
      <c r="CI13" s="448">
        <v>5</v>
      </c>
      <c r="CJ13" s="448">
        <v>0</v>
      </c>
      <c r="CK13" s="448">
        <v>0.9375</v>
      </c>
      <c r="CL13" s="448">
        <v>0.0575</v>
      </c>
      <c r="CM13" s="448">
        <v>0.0025</v>
      </c>
      <c r="CN13" s="448">
        <v>0.533333333333333</v>
      </c>
      <c r="CO13" s="448">
        <v>0.333333333333333</v>
      </c>
      <c r="CP13" s="448">
        <v>0</v>
      </c>
    </row>
    <row r="14" ht="16" customHeight="1">
      <c r="A14" t="s" s="447">
        <v>451</v>
      </c>
      <c r="B14" t="s" s="447">
        <v>155</v>
      </c>
      <c r="C14" t="s" s="447">
        <v>452</v>
      </c>
      <c r="D14" s="448">
        <v>1564</v>
      </c>
      <c r="E14" s="448">
        <v>992</v>
      </c>
      <c r="F14" s="448">
        <v>318</v>
      </c>
      <c r="G14" s="448">
        <v>302</v>
      </c>
      <c r="H14" s="448">
        <v>0.634271099744246</v>
      </c>
      <c r="I14" s="448">
        <v>0.203324808184143</v>
      </c>
      <c r="J14" s="448">
        <v>0.19309462915601</v>
      </c>
      <c r="K14" s="448">
        <v>3971</v>
      </c>
      <c r="L14" s="448">
        <v>513</v>
      </c>
      <c r="M14" s="448">
        <v>1202</v>
      </c>
      <c r="N14" s="448">
        <v>2199</v>
      </c>
      <c r="O14" s="448">
        <v>0.129186602870813</v>
      </c>
      <c r="P14" s="448">
        <v>0.302694535381516</v>
      </c>
      <c r="Q14" s="448">
        <v>0.553764794762025</v>
      </c>
      <c r="R14" s="448">
        <v>3971</v>
      </c>
      <c r="S14" s="448">
        <v>543</v>
      </c>
      <c r="T14" s="448">
        <v>90</v>
      </c>
      <c r="U14" s="448">
        <v>86</v>
      </c>
      <c r="V14" s="448">
        <v>49</v>
      </c>
      <c r="W14" s="448">
        <v>768</v>
      </c>
      <c r="X14" s="448">
        <v>1832</v>
      </c>
      <c r="Y14" s="448">
        <v>218</v>
      </c>
      <c r="Z14" s="448">
        <v>53</v>
      </c>
      <c r="AA14" s="448">
        <v>44</v>
      </c>
      <c r="AB14" s="448">
        <v>26</v>
      </c>
      <c r="AC14" s="448">
        <v>341</v>
      </c>
      <c r="AD14" s="448">
        <v>2139</v>
      </c>
      <c r="AE14" s="448">
        <v>325</v>
      </c>
      <c r="AF14" s="448">
        <v>37</v>
      </c>
      <c r="AG14" s="448">
        <v>42</v>
      </c>
      <c r="AH14" s="448">
        <v>23</v>
      </c>
      <c r="AI14" s="448">
        <v>427</v>
      </c>
      <c r="AJ14" s="448">
        <v>0.193402165701335</v>
      </c>
      <c r="AK14" s="448">
        <v>0.1171875</v>
      </c>
      <c r="AL14" s="448">
        <v>0.111979166666667</v>
      </c>
      <c r="AM14" s="448">
        <v>0.0638020833333333</v>
      </c>
      <c r="AN14" s="448">
        <v>0.444010416666667</v>
      </c>
      <c r="AO14" s="448">
        <v>0.555989583333333</v>
      </c>
      <c r="AP14" s="448">
        <v>1764</v>
      </c>
      <c r="AQ14" s="448">
        <v>310</v>
      </c>
      <c r="AR14" s="448">
        <v>4</v>
      </c>
      <c r="AS14" s="448">
        <v>2</v>
      </c>
      <c r="AT14" s="448">
        <v>168</v>
      </c>
      <c r="AU14" s="448">
        <v>343</v>
      </c>
      <c r="AV14" s="448">
        <v>7</v>
      </c>
      <c r="AW14" s="448">
        <v>7</v>
      </c>
      <c r="AX14" s="448">
        <v>60</v>
      </c>
      <c r="AY14" s="448">
        <v>181</v>
      </c>
      <c r="AZ14" s="448">
        <v>9</v>
      </c>
      <c r="BA14" s="448">
        <v>5</v>
      </c>
      <c r="BB14" s="448">
        <v>22</v>
      </c>
      <c r="BC14" s="448">
        <v>105</v>
      </c>
      <c r="BD14" s="448">
        <v>37</v>
      </c>
      <c r="BE14" s="448">
        <v>34</v>
      </c>
      <c r="BF14" s="448">
        <v>278</v>
      </c>
      <c r="BG14" s="448">
        <v>35</v>
      </c>
      <c r="BH14" s="448">
        <v>101</v>
      </c>
      <c r="BI14" s="448">
        <v>50</v>
      </c>
      <c r="BJ14" s="448">
        <v>0.175736961451247</v>
      </c>
      <c r="BK14" s="448">
        <v>0.00226757369614512</v>
      </c>
      <c r="BL14" s="448">
        <v>0.00113378684807256</v>
      </c>
      <c r="BM14" s="448">
        <v>0.09523809523809521</v>
      </c>
      <c r="BN14" s="448">
        <v>0.194444444444444</v>
      </c>
      <c r="BO14" s="448">
        <v>0.00396825396825397</v>
      </c>
      <c r="BP14" s="448">
        <v>0.00396825396825397</v>
      </c>
      <c r="BQ14" s="448">
        <v>0.0340136054421769</v>
      </c>
      <c r="BR14" s="448">
        <v>0.102607709750567</v>
      </c>
      <c r="BS14" s="448">
        <v>0.00510204081632653</v>
      </c>
      <c r="BT14" s="448">
        <v>0.00283446712018141</v>
      </c>
      <c r="BU14" s="448">
        <v>0.0124716553287982</v>
      </c>
      <c r="BV14" s="448">
        <v>0.0595238095238095</v>
      </c>
      <c r="BW14" s="448">
        <v>0.0209750566893424</v>
      </c>
      <c r="BX14" s="448">
        <v>0.0192743764172336</v>
      </c>
      <c r="BY14" s="448">
        <v>0.157596371882086</v>
      </c>
      <c r="BZ14" s="448">
        <v>0.0198412698412698</v>
      </c>
      <c r="CA14" s="448">
        <v>0.0572562358276644</v>
      </c>
      <c r="CB14" s="448">
        <v>0.0283446712018141</v>
      </c>
      <c r="CC14" s="448">
        <v>1764</v>
      </c>
      <c r="CD14" s="448">
        <v>1615</v>
      </c>
      <c r="CE14" s="448">
        <v>132</v>
      </c>
      <c r="CF14" s="448">
        <v>11</v>
      </c>
      <c r="CG14" s="448">
        <v>121</v>
      </c>
      <c r="CH14" s="448">
        <v>93</v>
      </c>
      <c r="CI14" s="448">
        <v>27</v>
      </c>
      <c r="CJ14" s="448">
        <v>0</v>
      </c>
      <c r="CK14" s="448">
        <v>0.915532879818594</v>
      </c>
      <c r="CL14" s="448">
        <v>0.0748299319727891</v>
      </c>
      <c r="CM14" s="448">
        <v>0.00623582766439909</v>
      </c>
      <c r="CN14" s="448">
        <v>0.768595041322314</v>
      </c>
      <c r="CO14" s="448">
        <v>0.223140495867769</v>
      </c>
      <c r="CP14" s="448">
        <v>0</v>
      </c>
    </row>
    <row r="15" ht="16" customHeight="1">
      <c r="A15" t="s" s="447">
        <v>453</v>
      </c>
      <c r="B15" t="s" s="447">
        <v>155</v>
      </c>
      <c r="C15" t="s" s="447">
        <v>454</v>
      </c>
      <c r="D15" s="448">
        <v>3755</v>
      </c>
      <c r="E15" s="448">
        <v>2255</v>
      </c>
      <c r="F15" s="448">
        <v>753</v>
      </c>
      <c r="G15" s="448">
        <v>680</v>
      </c>
      <c r="H15" s="448">
        <v>0.600532623169108</v>
      </c>
      <c r="I15" s="448">
        <v>0.200532623169108</v>
      </c>
      <c r="J15" s="448">
        <v>0.181091877496671</v>
      </c>
      <c r="K15" s="448">
        <v>8922</v>
      </c>
      <c r="L15" s="448">
        <v>1352</v>
      </c>
      <c r="M15" s="448">
        <v>2451</v>
      </c>
      <c r="N15" s="448">
        <v>4948</v>
      </c>
      <c r="O15" s="448">
        <v>0.151535530150191</v>
      </c>
      <c r="P15" s="448">
        <v>0.274714189643578</v>
      </c>
      <c r="Q15" s="448">
        <v>0.554584173952029</v>
      </c>
      <c r="R15" s="448">
        <v>8922</v>
      </c>
      <c r="S15" s="448">
        <v>1009</v>
      </c>
      <c r="T15" s="448">
        <v>129</v>
      </c>
      <c r="U15" s="448">
        <v>172</v>
      </c>
      <c r="V15" s="448">
        <v>140</v>
      </c>
      <c r="W15" s="448">
        <v>1450</v>
      </c>
      <c r="X15" s="448">
        <v>4232</v>
      </c>
      <c r="Y15" s="448">
        <v>423</v>
      </c>
      <c r="Z15" s="448">
        <v>60</v>
      </c>
      <c r="AA15" s="448">
        <v>84</v>
      </c>
      <c r="AB15" s="448">
        <v>139</v>
      </c>
      <c r="AC15" s="448">
        <v>706</v>
      </c>
      <c r="AD15" s="448">
        <v>4690</v>
      </c>
      <c r="AE15" s="448">
        <v>586</v>
      </c>
      <c r="AF15" s="448">
        <v>69</v>
      </c>
      <c r="AG15" s="448">
        <v>88</v>
      </c>
      <c r="AH15" s="448">
        <v>1</v>
      </c>
      <c r="AI15" s="448">
        <v>744</v>
      </c>
      <c r="AJ15" s="448">
        <v>0.162519614436225</v>
      </c>
      <c r="AK15" s="448">
        <v>0.0889655172413793</v>
      </c>
      <c r="AL15" s="448">
        <v>0.118620689655172</v>
      </c>
      <c r="AM15" s="448">
        <v>0.09655172413793101</v>
      </c>
      <c r="AN15" s="448">
        <v>0.486896551724138</v>
      </c>
      <c r="AO15" s="448">
        <v>0.513103448275862</v>
      </c>
      <c r="AP15" s="448">
        <v>4049</v>
      </c>
      <c r="AQ15" s="448">
        <v>522</v>
      </c>
      <c r="AR15" s="448">
        <v>341</v>
      </c>
      <c r="AS15" s="448">
        <v>0</v>
      </c>
      <c r="AT15" s="448">
        <v>235</v>
      </c>
      <c r="AU15" s="448">
        <v>378</v>
      </c>
      <c r="AV15" s="448">
        <v>9</v>
      </c>
      <c r="AW15" s="448">
        <v>10</v>
      </c>
      <c r="AX15" s="448">
        <v>468</v>
      </c>
      <c r="AY15" s="448">
        <v>482</v>
      </c>
      <c r="AZ15" s="448">
        <v>84</v>
      </c>
      <c r="BA15" s="448">
        <v>20</v>
      </c>
      <c r="BB15" s="448">
        <v>45</v>
      </c>
      <c r="BC15" s="448">
        <v>159</v>
      </c>
      <c r="BD15" s="448">
        <v>130</v>
      </c>
      <c r="BE15" s="448">
        <v>118</v>
      </c>
      <c r="BF15" s="448">
        <v>683</v>
      </c>
      <c r="BG15" s="448">
        <v>94</v>
      </c>
      <c r="BH15" s="448">
        <v>183</v>
      </c>
      <c r="BI15" s="448">
        <v>85</v>
      </c>
      <c r="BJ15" s="448">
        <v>0.12892072116572</v>
      </c>
      <c r="BK15" s="448">
        <v>0.0842183255124722</v>
      </c>
      <c r="BL15" s="448">
        <v>0</v>
      </c>
      <c r="BM15" s="448">
        <v>0.058039021980736</v>
      </c>
      <c r="BN15" s="448">
        <v>0.0933563842924179</v>
      </c>
      <c r="BO15" s="448">
        <v>0.00222277105458138</v>
      </c>
      <c r="BP15" s="448">
        <v>0.00246974561620153</v>
      </c>
      <c r="BQ15" s="448">
        <v>0.115584094838232</v>
      </c>
      <c r="BR15" s="448">
        <v>0.119041738700914</v>
      </c>
      <c r="BS15" s="448">
        <v>0.0207458631760929</v>
      </c>
      <c r="BT15" s="448">
        <v>0.00493949123240306</v>
      </c>
      <c r="BU15" s="448">
        <v>0.0111138552729069</v>
      </c>
      <c r="BV15" s="448">
        <v>0.0392689552976043</v>
      </c>
      <c r="BW15" s="448">
        <v>0.0321066930106199</v>
      </c>
      <c r="BX15" s="448">
        <v>0.0291429982711781</v>
      </c>
      <c r="BY15" s="448">
        <v>0.168683625586565</v>
      </c>
      <c r="BZ15" s="448">
        <v>0.0232156087922944</v>
      </c>
      <c r="CA15" s="448">
        <v>0.045196344776488</v>
      </c>
      <c r="CB15" s="448">
        <v>0.020992837737713</v>
      </c>
      <c r="CC15" s="448">
        <v>4049</v>
      </c>
      <c r="CD15" s="448">
        <v>3341</v>
      </c>
      <c r="CE15" s="448">
        <v>276</v>
      </c>
      <c r="CF15" s="448">
        <v>406</v>
      </c>
      <c r="CG15" s="448">
        <v>312</v>
      </c>
      <c r="CH15" s="448">
        <v>240</v>
      </c>
      <c r="CI15" s="448">
        <v>61</v>
      </c>
      <c r="CJ15" s="448">
        <v>6</v>
      </c>
      <c r="CK15" s="448">
        <v>0.825142010372932</v>
      </c>
      <c r="CL15" s="448">
        <v>0.0681649790071623</v>
      </c>
      <c r="CM15" s="448">
        <v>0.100271672017782</v>
      </c>
      <c r="CN15" s="448">
        <v>0.7692307692307691</v>
      </c>
      <c r="CO15" s="448">
        <v>0.195512820512821</v>
      </c>
      <c r="CP15" s="448">
        <v>0.0192307692307692</v>
      </c>
    </row>
    <row r="16" ht="16" customHeight="1">
      <c r="A16" s="449"/>
      <c r="B16" s="449"/>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I16" s="449"/>
      <c r="AJ16" s="449"/>
      <c r="AK16" s="449"/>
      <c r="AL16" s="449"/>
      <c r="AM16" s="449"/>
      <c r="AN16" s="449"/>
      <c r="AO16" s="449"/>
      <c r="AP16" s="449"/>
      <c r="AQ16" s="449"/>
      <c r="AR16" s="449"/>
      <c r="AS16" s="449"/>
      <c r="AT16" s="449"/>
      <c r="AU16" s="449"/>
      <c r="AV16" s="449"/>
      <c r="AW16" s="449"/>
      <c r="AX16" s="449"/>
      <c r="AY16" s="449"/>
      <c r="AZ16" s="449"/>
      <c r="BA16" s="449"/>
      <c r="BB16" s="449"/>
      <c r="BC16" s="449"/>
      <c r="BD16" s="449"/>
      <c r="BE16" s="449"/>
      <c r="BF16" s="449"/>
      <c r="BG16" s="449"/>
      <c r="BH16" s="449"/>
      <c r="BI16" s="449"/>
      <c r="BJ16" s="449"/>
      <c r="BK16" s="449"/>
      <c r="BL16" s="449"/>
      <c r="BM16" s="449"/>
      <c r="BN16" s="449"/>
      <c r="BO16" s="449"/>
      <c r="BP16" s="449"/>
      <c r="BQ16" s="449"/>
      <c r="BR16" s="449"/>
      <c r="BS16" s="449"/>
      <c r="BT16" s="449"/>
      <c r="BU16" s="449"/>
      <c r="BV16" s="449"/>
      <c r="BW16" s="449"/>
      <c r="BX16" s="449"/>
      <c r="BY16" s="449"/>
      <c r="BZ16" s="449"/>
      <c r="CA16" s="449"/>
      <c r="CB16" s="449"/>
      <c r="CC16" s="449"/>
      <c r="CD16" s="449"/>
      <c r="CE16" s="449"/>
      <c r="CF16" s="449"/>
      <c r="CG16" s="449"/>
      <c r="CH16" s="449"/>
      <c r="CI16" s="449"/>
      <c r="CJ16" s="449"/>
      <c r="CK16" s="449"/>
      <c r="CL16" s="449"/>
      <c r="CM16" s="449"/>
      <c r="CN16" s="449"/>
      <c r="CO16" s="449"/>
      <c r="CP16" s="449"/>
    </row>
    <row r="17" ht="16" customHeight="1">
      <c r="A17" s="449"/>
      <c r="B17" s="449"/>
      <c r="C17" s="449"/>
      <c r="D17" s="449"/>
      <c r="E17" s="449"/>
      <c r="F17" s="449"/>
      <c r="G17" s="449"/>
      <c r="H17" s="449"/>
      <c r="I17" s="449"/>
      <c r="J17" s="449"/>
      <c r="K17" s="449"/>
      <c r="L17" s="449"/>
      <c r="M17" s="449"/>
      <c r="N17" s="449"/>
      <c r="O17" s="449"/>
      <c r="P17" s="449"/>
      <c r="Q17" s="449"/>
      <c r="R17" s="449"/>
      <c r="S17" s="449"/>
      <c r="T17" s="449"/>
      <c r="U17" s="449"/>
      <c r="V17" s="449"/>
      <c r="W17" s="449"/>
      <c r="X17" s="449"/>
      <c r="Y17" s="449"/>
      <c r="Z17" s="449"/>
      <c r="AA17" s="449"/>
      <c r="AB17" s="449"/>
      <c r="AC17" s="449"/>
      <c r="AD17" s="449"/>
      <c r="AE17" s="449"/>
      <c r="AF17" s="449"/>
      <c r="AG17" s="449"/>
      <c r="AH17" s="449"/>
      <c r="AI17" s="449"/>
      <c r="AJ17" s="449"/>
      <c r="AK17" s="449"/>
      <c r="AL17" s="449"/>
      <c r="AM17" s="449"/>
      <c r="AN17" s="449"/>
      <c r="AO17" s="449"/>
      <c r="AP17" s="449"/>
      <c r="AQ17" s="449"/>
      <c r="AR17" s="449"/>
      <c r="AS17" s="449"/>
      <c r="AT17" s="449"/>
      <c r="AU17" s="449"/>
      <c r="AV17" s="449"/>
      <c r="AW17" s="449"/>
      <c r="AX17" s="449"/>
      <c r="AY17" s="449"/>
      <c r="AZ17" s="449"/>
      <c r="BA17" s="449"/>
      <c r="BB17" s="449"/>
      <c r="BC17" s="449"/>
      <c r="BD17" s="449"/>
      <c r="BE17" s="449"/>
      <c r="BF17" s="449"/>
      <c r="BG17" s="449"/>
      <c r="BH17" s="449"/>
      <c r="BI17" s="449"/>
      <c r="BJ17" s="449"/>
      <c r="BK17" s="449"/>
      <c r="BL17" s="449"/>
      <c r="BM17" s="449"/>
      <c r="BN17" s="449"/>
      <c r="BO17" s="449"/>
      <c r="BP17" s="449"/>
      <c r="BQ17" s="449"/>
      <c r="BR17" s="449"/>
      <c r="BS17" s="449"/>
      <c r="BT17" s="449"/>
      <c r="BU17" s="449"/>
      <c r="BV17" s="449"/>
      <c r="BW17" s="449"/>
      <c r="BX17" s="449"/>
      <c r="BY17" s="449"/>
      <c r="BZ17" s="449"/>
      <c r="CA17" s="449"/>
      <c r="CB17" s="449"/>
      <c r="CC17" s="449"/>
      <c r="CD17" s="449"/>
      <c r="CE17" s="449"/>
      <c r="CF17" s="449"/>
      <c r="CG17" s="449"/>
      <c r="CH17" s="449"/>
      <c r="CI17" s="449"/>
      <c r="CJ17" s="449"/>
      <c r="CK17" s="449"/>
      <c r="CL17" s="449"/>
      <c r="CM17" s="449"/>
      <c r="CN17" s="449"/>
      <c r="CO17" s="449"/>
      <c r="CP17" s="449"/>
    </row>
    <row r="18" ht="16" customHeight="1">
      <c r="A18" s="449"/>
      <c r="B18" s="449"/>
      <c r="C18" s="449"/>
      <c r="D18" s="449"/>
      <c r="E18" s="449"/>
      <c r="F18" s="449"/>
      <c r="G18" s="449"/>
      <c r="H18" s="449"/>
      <c r="I18" s="449"/>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c r="AH18" s="449"/>
      <c r="AI18" s="449"/>
      <c r="AJ18" s="449"/>
      <c r="AK18" s="449"/>
      <c r="AL18" s="449"/>
      <c r="AM18" s="449"/>
      <c r="AN18" s="449"/>
      <c r="AO18" s="449"/>
      <c r="AP18" s="449"/>
      <c r="AQ18" s="449"/>
      <c r="AR18" s="449"/>
      <c r="AS18" s="449"/>
      <c r="AT18" s="449"/>
      <c r="AU18" s="449"/>
      <c r="AV18" s="449"/>
      <c r="AW18" s="449"/>
      <c r="AX18" s="449"/>
      <c r="AY18" s="449"/>
      <c r="AZ18" s="449"/>
      <c r="BA18" s="449"/>
      <c r="BB18" s="449"/>
      <c r="BC18" s="449"/>
      <c r="BD18" s="449"/>
      <c r="BE18" s="449"/>
      <c r="BF18" s="449"/>
      <c r="BG18" s="449"/>
      <c r="BH18" s="449"/>
      <c r="BI18" s="449"/>
      <c r="BJ18" s="449"/>
      <c r="BK18" s="449"/>
      <c r="BL18" s="449"/>
      <c r="BM18" s="449"/>
      <c r="BN18" s="449"/>
      <c r="BO18" s="449"/>
      <c r="BP18" s="449"/>
      <c r="BQ18" s="449"/>
      <c r="BR18" s="449"/>
      <c r="BS18" s="449"/>
      <c r="BT18" s="449"/>
      <c r="BU18" s="449"/>
      <c r="BV18" s="449"/>
      <c r="BW18" s="449"/>
      <c r="BX18" s="449"/>
      <c r="BY18" s="449"/>
      <c r="BZ18" s="449"/>
      <c r="CA18" s="449"/>
      <c r="CB18" s="449"/>
      <c r="CC18" s="449"/>
      <c r="CD18" s="449"/>
      <c r="CE18" s="449"/>
      <c r="CF18" s="449"/>
      <c r="CG18" s="449"/>
      <c r="CH18" s="449"/>
      <c r="CI18" s="449"/>
      <c r="CJ18" s="449"/>
      <c r="CK18" s="449"/>
      <c r="CL18" s="449"/>
      <c r="CM18" s="449"/>
      <c r="CN18" s="449"/>
      <c r="CO18" s="449"/>
      <c r="CP18" s="449"/>
    </row>
    <row r="19" ht="16" customHeight="1">
      <c r="A19" s="449"/>
      <c r="B19" s="449"/>
      <c r="C19" s="449"/>
      <c r="D19" s="449"/>
      <c r="E19" s="449"/>
      <c r="F19" s="449"/>
      <c r="G19" s="449"/>
      <c r="H19" s="449"/>
      <c r="I19" s="449"/>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49"/>
      <c r="AL19" s="449"/>
      <c r="AM19" s="449"/>
      <c r="AN19" s="449"/>
      <c r="AO19" s="449"/>
      <c r="AP19" s="449"/>
      <c r="AQ19" s="449"/>
      <c r="AR19" s="449"/>
      <c r="AS19" s="449"/>
      <c r="AT19" s="449"/>
      <c r="AU19" s="449"/>
      <c r="AV19" s="449"/>
      <c r="AW19" s="449"/>
      <c r="AX19" s="449"/>
      <c r="AY19" s="449"/>
      <c r="AZ19" s="449"/>
      <c r="BA19" s="449"/>
      <c r="BB19" s="449"/>
      <c r="BC19" s="449"/>
      <c r="BD19" s="449"/>
      <c r="BE19" s="449"/>
      <c r="BF19" s="449"/>
      <c r="BG19" s="449"/>
      <c r="BH19" s="449"/>
      <c r="BI19" s="449"/>
      <c r="BJ19" s="449"/>
      <c r="BK19" s="449"/>
      <c r="BL19" s="449"/>
      <c r="BM19" s="449"/>
      <c r="BN19" s="449"/>
      <c r="BO19" s="449"/>
      <c r="BP19" s="449"/>
      <c r="BQ19" s="449"/>
      <c r="BR19" s="449"/>
      <c r="BS19" s="449"/>
      <c r="BT19" s="449"/>
      <c r="BU19" s="449"/>
      <c r="BV19" s="449"/>
      <c r="BW19" s="449"/>
      <c r="BX19" s="449"/>
      <c r="BY19" s="449"/>
      <c r="BZ19" s="449"/>
      <c r="CA19" s="449"/>
      <c r="CB19" s="449"/>
      <c r="CC19" s="449"/>
      <c r="CD19" s="449"/>
      <c r="CE19" s="449"/>
      <c r="CF19" s="449"/>
      <c r="CG19" s="449"/>
      <c r="CH19" s="449"/>
      <c r="CI19" s="449"/>
      <c r="CJ19" s="449"/>
      <c r="CK19" s="449"/>
      <c r="CL19" s="449"/>
      <c r="CM19" s="449"/>
      <c r="CN19" s="449"/>
      <c r="CO19" s="449"/>
      <c r="CP19" s="449"/>
    </row>
    <row r="20" ht="16" customHeight="1">
      <c r="A20" s="449"/>
      <c r="B20" s="449"/>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49"/>
      <c r="AJ20" s="449"/>
      <c r="AK20" s="449"/>
      <c r="AL20" s="449"/>
      <c r="AM20" s="449"/>
      <c r="AN20" s="449"/>
      <c r="AO20" s="449"/>
      <c r="AP20" s="449"/>
      <c r="AQ20" s="449"/>
      <c r="AR20" s="449"/>
      <c r="AS20" s="449"/>
      <c r="AT20" s="449"/>
      <c r="AU20" s="449"/>
      <c r="AV20" s="449"/>
      <c r="AW20" s="449"/>
      <c r="AX20" s="449"/>
      <c r="AY20" s="449"/>
      <c r="AZ20" s="449"/>
      <c r="BA20" s="449"/>
      <c r="BB20" s="449"/>
      <c r="BC20" s="449"/>
      <c r="BD20" s="449"/>
      <c r="BE20" s="449"/>
      <c r="BF20" s="449"/>
      <c r="BG20" s="449"/>
      <c r="BH20" s="449"/>
      <c r="BI20" s="449"/>
      <c r="BJ20" s="449"/>
      <c r="BK20" s="449"/>
      <c r="BL20" s="449"/>
      <c r="BM20" s="449"/>
      <c r="BN20" s="449"/>
      <c r="BO20" s="449"/>
      <c r="BP20" s="449"/>
      <c r="BQ20" s="449"/>
      <c r="BR20" s="449"/>
      <c r="BS20" s="449"/>
      <c r="BT20" s="449"/>
      <c r="BU20" s="449"/>
      <c r="BV20" s="449"/>
      <c r="BW20" s="449"/>
      <c r="BX20" s="449"/>
      <c r="BY20" s="449"/>
      <c r="BZ20" s="449"/>
      <c r="CA20" s="449"/>
      <c r="CB20" s="449"/>
      <c r="CC20" s="449"/>
      <c r="CD20" s="449"/>
      <c r="CE20" s="449"/>
      <c r="CF20" s="449"/>
      <c r="CG20" s="449"/>
      <c r="CH20" s="449"/>
      <c r="CI20" s="449"/>
      <c r="CJ20" s="449"/>
      <c r="CK20" s="449"/>
      <c r="CL20" s="449"/>
      <c r="CM20" s="449"/>
      <c r="CN20" s="449"/>
      <c r="CO20" s="449"/>
      <c r="CP20" s="449"/>
    </row>
    <row r="21" ht="16" customHeight="1">
      <c r="A21" s="449"/>
      <c r="B21" s="449"/>
      <c r="C21" s="449"/>
      <c r="D21" s="449"/>
      <c r="E21" s="449"/>
      <c r="F21" s="449"/>
      <c r="G21" s="449"/>
      <c r="H21" s="449"/>
      <c r="I21" s="449"/>
      <c r="J21" s="449"/>
      <c r="K21" s="449"/>
      <c r="L21" s="449"/>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49"/>
      <c r="AL21" s="449"/>
      <c r="AM21" s="449"/>
      <c r="AN21" s="449"/>
      <c r="AO21" s="449"/>
      <c r="AP21" s="449"/>
      <c r="AQ21" s="449"/>
      <c r="AR21" s="449"/>
      <c r="AS21" s="449"/>
      <c r="AT21" s="449"/>
      <c r="AU21" s="449"/>
      <c r="AV21" s="449"/>
      <c r="AW21" s="449"/>
      <c r="AX21" s="449"/>
      <c r="AY21" s="449"/>
      <c r="AZ21" s="449"/>
      <c r="BA21" s="449"/>
      <c r="BB21" s="449"/>
      <c r="BC21" s="449"/>
      <c r="BD21" s="449"/>
      <c r="BE21" s="449"/>
      <c r="BF21" s="449"/>
      <c r="BG21" s="449"/>
      <c r="BH21" s="449"/>
      <c r="BI21" s="449"/>
      <c r="BJ21" s="449"/>
      <c r="BK21" s="449"/>
      <c r="BL21" s="449"/>
      <c r="BM21" s="449"/>
      <c r="BN21" s="449"/>
      <c r="BO21" s="449"/>
      <c r="BP21" s="449"/>
      <c r="BQ21" s="449"/>
      <c r="BR21" s="449"/>
      <c r="BS21" s="449"/>
      <c r="BT21" s="449"/>
      <c r="BU21" s="449"/>
      <c r="BV21" s="449"/>
      <c r="BW21" s="449"/>
      <c r="BX21" s="449"/>
      <c r="BY21" s="449"/>
      <c r="BZ21" s="449"/>
      <c r="CA21" s="449"/>
      <c r="CB21" s="449"/>
      <c r="CC21" s="449"/>
      <c r="CD21" s="449"/>
      <c r="CE21" s="449"/>
      <c r="CF21" s="449"/>
      <c r="CG21" s="449"/>
      <c r="CH21" s="449"/>
      <c r="CI21" s="449"/>
      <c r="CJ21" s="449"/>
      <c r="CK21" s="449"/>
      <c r="CL21" s="449"/>
      <c r="CM21" s="449"/>
      <c r="CN21" s="449"/>
      <c r="CO21" s="449"/>
      <c r="CP21" s="449"/>
    </row>
    <row r="22" ht="16" customHeight="1">
      <c r="A22" s="449"/>
      <c r="B22" s="449"/>
      <c r="C22" s="449"/>
      <c r="D22" s="449"/>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449"/>
      <c r="AM22" s="449"/>
      <c r="AN22" s="449"/>
      <c r="AO22" s="449"/>
      <c r="AP22" s="449"/>
      <c r="AQ22" s="449"/>
      <c r="AR22" s="449"/>
      <c r="AS22" s="449"/>
      <c r="AT22" s="449"/>
      <c r="AU22" s="449"/>
      <c r="AV22" s="449"/>
      <c r="AW22" s="449"/>
      <c r="AX22" s="449"/>
      <c r="AY22" s="449"/>
      <c r="AZ22" s="449"/>
      <c r="BA22" s="449"/>
      <c r="BB22" s="449"/>
      <c r="BC22" s="449"/>
      <c r="BD22" s="449"/>
      <c r="BE22" s="449"/>
      <c r="BF22" s="449"/>
      <c r="BG22" s="449"/>
      <c r="BH22" s="449"/>
      <c r="BI22" s="449"/>
      <c r="BJ22" s="449"/>
      <c r="BK22" s="449"/>
      <c r="BL22" s="449"/>
      <c r="BM22" s="449"/>
      <c r="BN22" s="449"/>
      <c r="BO22" s="449"/>
      <c r="BP22" s="449"/>
      <c r="BQ22" s="449"/>
      <c r="BR22" s="449"/>
      <c r="BS22" s="449"/>
      <c r="BT22" s="449"/>
      <c r="BU22" s="449"/>
      <c r="BV22" s="449"/>
      <c r="BW22" s="449"/>
      <c r="BX22" s="449"/>
      <c r="BY22" s="449"/>
      <c r="BZ22" s="449"/>
      <c r="CA22" s="449"/>
      <c r="CB22" s="449"/>
      <c r="CC22" s="449"/>
      <c r="CD22" s="449"/>
      <c r="CE22" s="449"/>
      <c r="CF22" s="449"/>
      <c r="CG22" s="449"/>
      <c r="CH22" s="449"/>
      <c r="CI22" s="449"/>
      <c r="CJ22" s="449"/>
      <c r="CK22" s="449"/>
      <c r="CL22" s="449"/>
      <c r="CM22" s="449"/>
      <c r="CN22" s="449"/>
      <c r="CO22" s="449"/>
      <c r="CP22" s="449"/>
    </row>
    <row r="23" ht="16" customHeight="1">
      <c r="A23" s="449"/>
      <c r="B23" s="449"/>
      <c r="C23" s="449"/>
      <c r="D23" s="449"/>
      <c r="E23" s="449"/>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c r="AH23" s="449"/>
      <c r="AI23" s="449"/>
      <c r="AJ23" s="449"/>
      <c r="AK23" s="449"/>
      <c r="AL23" s="449"/>
      <c r="AM23" s="449"/>
      <c r="AN23" s="449"/>
      <c r="AO23" s="449"/>
      <c r="AP23" s="449"/>
      <c r="AQ23" s="449"/>
      <c r="AR23" s="449"/>
      <c r="AS23" s="449"/>
      <c r="AT23" s="449"/>
      <c r="AU23" s="449"/>
      <c r="AV23" s="449"/>
      <c r="AW23" s="449"/>
      <c r="AX23" s="449"/>
      <c r="AY23" s="449"/>
      <c r="AZ23" s="449"/>
      <c r="BA23" s="449"/>
      <c r="BB23" s="449"/>
      <c r="BC23" s="449"/>
      <c r="BD23" s="449"/>
      <c r="BE23" s="449"/>
      <c r="BF23" s="449"/>
      <c r="BG23" s="449"/>
      <c r="BH23" s="449"/>
      <c r="BI23" s="449"/>
      <c r="BJ23" s="449"/>
      <c r="BK23" s="449"/>
      <c r="BL23" s="449"/>
      <c r="BM23" s="449"/>
      <c r="BN23" s="449"/>
      <c r="BO23" s="449"/>
      <c r="BP23" s="449"/>
      <c r="BQ23" s="449"/>
      <c r="BR23" s="449"/>
      <c r="BS23" s="449"/>
      <c r="BT23" s="449"/>
      <c r="BU23" s="449"/>
      <c r="BV23" s="449"/>
      <c r="BW23" s="449"/>
      <c r="BX23" s="449"/>
      <c r="BY23" s="449"/>
      <c r="BZ23" s="449"/>
      <c r="CA23" s="449"/>
      <c r="CB23" s="449"/>
      <c r="CC23" s="449"/>
      <c r="CD23" s="449"/>
      <c r="CE23" s="449"/>
      <c r="CF23" s="449"/>
      <c r="CG23" s="449"/>
      <c r="CH23" s="449"/>
      <c r="CI23" s="449"/>
      <c r="CJ23" s="449"/>
      <c r="CK23" s="449"/>
      <c r="CL23" s="449"/>
      <c r="CM23" s="449"/>
      <c r="CN23" s="449"/>
      <c r="CO23" s="449"/>
      <c r="CP23" s="449"/>
    </row>
    <row r="24" ht="16" customHeight="1">
      <c r="A24" s="449"/>
      <c r="B24" s="449"/>
      <c r="C24" s="449"/>
      <c r="D24" s="449"/>
      <c r="E24" s="449"/>
      <c r="F24" s="449"/>
      <c r="G24" s="449"/>
      <c r="H24" s="449"/>
      <c r="I24" s="449"/>
      <c r="J24" s="449"/>
      <c r="K24" s="449"/>
      <c r="L24" s="449"/>
      <c r="M24" s="449"/>
      <c r="N24" s="449"/>
      <c r="O24" s="449"/>
      <c r="P24" s="449"/>
      <c r="Q24" s="449"/>
      <c r="R24" s="449"/>
      <c r="S24" s="449"/>
      <c r="T24" s="449"/>
      <c r="U24" s="449"/>
      <c r="V24" s="449"/>
      <c r="W24" s="449"/>
      <c r="X24" s="449"/>
      <c r="Y24" s="449"/>
      <c r="Z24" s="449"/>
      <c r="AA24" s="449"/>
      <c r="AB24" s="449"/>
      <c r="AC24" s="449"/>
      <c r="AD24" s="449"/>
      <c r="AE24" s="449"/>
      <c r="AF24" s="449"/>
      <c r="AG24" s="449"/>
      <c r="AH24" s="449"/>
      <c r="AI24" s="449"/>
      <c r="AJ24" s="449"/>
      <c r="AK24" s="449"/>
      <c r="AL24" s="449"/>
      <c r="AM24" s="449"/>
      <c r="AN24" s="449"/>
      <c r="AO24" s="449"/>
      <c r="AP24" s="449"/>
      <c r="AQ24" s="449"/>
      <c r="AR24" s="449"/>
      <c r="AS24" s="449"/>
      <c r="AT24" s="449"/>
      <c r="AU24" s="449"/>
      <c r="AV24" s="449"/>
      <c r="AW24" s="449"/>
      <c r="AX24" s="449"/>
      <c r="AY24" s="449"/>
      <c r="AZ24" s="449"/>
      <c r="BA24" s="449"/>
      <c r="BB24" s="449"/>
      <c r="BC24" s="449"/>
      <c r="BD24" s="449"/>
      <c r="BE24" s="449"/>
      <c r="BF24" s="449"/>
      <c r="BG24" s="449"/>
      <c r="BH24" s="449"/>
      <c r="BI24" s="449"/>
      <c r="BJ24" s="449"/>
      <c r="BK24" s="449"/>
      <c r="BL24" s="449"/>
      <c r="BM24" s="449"/>
      <c r="BN24" s="449"/>
      <c r="BO24" s="449"/>
      <c r="BP24" s="449"/>
      <c r="BQ24" s="449"/>
      <c r="BR24" s="449"/>
      <c r="BS24" s="449"/>
      <c r="BT24" s="449"/>
      <c r="BU24" s="449"/>
      <c r="BV24" s="449"/>
      <c r="BW24" s="449"/>
      <c r="BX24" s="449"/>
      <c r="BY24" s="449"/>
      <c r="BZ24" s="449"/>
      <c r="CA24" s="449"/>
      <c r="CB24" s="449"/>
      <c r="CC24" s="449"/>
      <c r="CD24" s="449"/>
      <c r="CE24" s="449"/>
      <c r="CF24" s="449"/>
      <c r="CG24" s="449"/>
      <c r="CH24" s="449"/>
      <c r="CI24" s="449"/>
      <c r="CJ24" s="449"/>
      <c r="CK24" s="449"/>
      <c r="CL24" s="449"/>
      <c r="CM24" s="449"/>
      <c r="CN24" s="449"/>
      <c r="CO24" s="449"/>
      <c r="CP24" s="449"/>
    </row>
    <row r="25" ht="16"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M25" s="449"/>
      <c r="AN25" s="449"/>
      <c r="AO25" s="449"/>
      <c r="AP25" s="449"/>
      <c r="AQ25" s="449"/>
      <c r="AR25" s="449"/>
      <c r="AS25" s="449"/>
      <c r="AT25" s="449"/>
      <c r="AU25" s="449"/>
      <c r="AV25" s="449"/>
      <c r="AW25" s="449"/>
      <c r="AX25" s="449"/>
      <c r="AY25" s="449"/>
      <c r="AZ25" s="449"/>
      <c r="BA25" s="449"/>
      <c r="BB25" s="449"/>
      <c r="BC25" s="449"/>
      <c r="BD25" s="449"/>
      <c r="BE25" s="449"/>
      <c r="BF25" s="449"/>
      <c r="BG25" s="449"/>
      <c r="BH25" s="449"/>
      <c r="BI25" s="449"/>
      <c r="BJ25" s="449"/>
      <c r="BK25" s="449"/>
      <c r="BL25" s="449"/>
      <c r="BM25" s="449"/>
      <c r="BN25" s="449"/>
      <c r="BO25" s="449"/>
      <c r="BP25" s="449"/>
      <c r="BQ25" s="449"/>
      <c r="BR25" s="449"/>
      <c r="BS25" s="449"/>
      <c r="BT25" s="449"/>
      <c r="BU25" s="449"/>
      <c r="BV25" s="449"/>
      <c r="BW25" s="449"/>
      <c r="BX25" s="449"/>
      <c r="BY25" s="449"/>
      <c r="BZ25" s="449"/>
      <c r="CA25" s="449"/>
      <c r="CB25" s="449"/>
      <c r="CC25" s="449"/>
      <c r="CD25" s="449"/>
      <c r="CE25" s="449"/>
      <c r="CF25" s="449"/>
      <c r="CG25" s="449"/>
      <c r="CH25" s="449"/>
      <c r="CI25" s="449"/>
      <c r="CJ25" s="449"/>
      <c r="CK25" s="449"/>
      <c r="CL25" s="449"/>
      <c r="CM25" s="449"/>
      <c r="CN25" s="449"/>
      <c r="CO25" s="449"/>
      <c r="CP25" s="449"/>
    </row>
    <row r="26" ht="16" customHeight="1">
      <c r="A26" s="449"/>
      <c r="B26" s="449"/>
      <c r="C26" s="449"/>
      <c r="D26" s="449"/>
      <c r="E26" s="449"/>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49"/>
      <c r="AM26" s="449"/>
      <c r="AN26" s="449"/>
      <c r="AO26" s="449"/>
      <c r="AP26" s="449"/>
      <c r="AQ26" s="449"/>
      <c r="AR26" s="449"/>
      <c r="AS26" s="449"/>
      <c r="AT26" s="449"/>
      <c r="AU26" s="449"/>
      <c r="AV26" s="449"/>
      <c r="AW26" s="449"/>
      <c r="AX26" s="449"/>
      <c r="AY26" s="449"/>
      <c r="AZ26" s="449"/>
      <c r="BA26" s="449"/>
      <c r="BB26" s="449"/>
      <c r="BC26" s="449"/>
      <c r="BD26" s="449"/>
      <c r="BE26" s="449"/>
      <c r="BF26" s="449"/>
      <c r="BG26" s="449"/>
      <c r="BH26" s="449"/>
      <c r="BI26" s="449"/>
      <c r="BJ26" s="449"/>
      <c r="BK26" s="449"/>
      <c r="BL26" s="449"/>
      <c r="BM26" s="449"/>
      <c r="BN26" s="449"/>
      <c r="BO26" s="449"/>
      <c r="BP26" s="449"/>
      <c r="BQ26" s="449"/>
      <c r="BR26" s="449"/>
      <c r="BS26" s="449"/>
      <c r="BT26" s="449"/>
      <c r="BU26" s="449"/>
      <c r="BV26" s="449"/>
      <c r="BW26" s="449"/>
      <c r="BX26" s="449"/>
      <c r="BY26" s="449"/>
      <c r="BZ26" s="449"/>
      <c r="CA26" s="449"/>
      <c r="CB26" s="449"/>
      <c r="CC26" s="449"/>
      <c r="CD26" s="449"/>
      <c r="CE26" s="449"/>
      <c r="CF26" s="449"/>
      <c r="CG26" s="449"/>
      <c r="CH26" s="449"/>
      <c r="CI26" s="449"/>
      <c r="CJ26" s="449"/>
      <c r="CK26" s="449"/>
      <c r="CL26" s="449"/>
      <c r="CM26" s="449"/>
      <c r="CN26" s="449"/>
      <c r="CO26" s="449"/>
      <c r="CP26" s="449"/>
    </row>
    <row r="27" ht="16" customHeight="1">
      <c r="A27" s="449"/>
      <c r="B27" s="449"/>
      <c r="C27" s="449"/>
      <c r="D27" s="449"/>
      <c r="E27" s="449"/>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c r="AL27" s="449"/>
      <c r="AM27" s="449"/>
      <c r="AN27" s="449"/>
      <c r="AO27" s="449"/>
      <c r="AP27" s="449"/>
      <c r="AQ27" s="449"/>
      <c r="AR27" s="449"/>
      <c r="AS27" s="449"/>
      <c r="AT27" s="449"/>
      <c r="AU27" s="449"/>
      <c r="AV27" s="449"/>
      <c r="AW27" s="449"/>
      <c r="AX27" s="449"/>
      <c r="AY27" s="449"/>
      <c r="AZ27" s="449"/>
      <c r="BA27" s="449"/>
      <c r="BB27" s="449"/>
      <c r="BC27" s="449"/>
      <c r="BD27" s="449"/>
      <c r="BE27" s="449"/>
      <c r="BF27" s="449"/>
      <c r="BG27" s="449"/>
      <c r="BH27" s="449"/>
      <c r="BI27" s="449"/>
      <c r="BJ27" s="449"/>
      <c r="BK27" s="449"/>
      <c r="BL27" s="449"/>
      <c r="BM27" s="449"/>
      <c r="BN27" s="449"/>
      <c r="BO27" s="449"/>
      <c r="BP27" s="449"/>
      <c r="BQ27" s="449"/>
      <c r="BR27" s="449"/>
      <c r="BS27" s="449"/>
      <c r="BT27" s="449"/>
      <c r="BU27" s="449"/>
      <c r="BV27" s="449"/>
      <c r="BW27" s="449"/>
      <c r="BX27" s="449"/>
      <c r="BY27" s="449"/>
      <c r="BZ27" s="449"/>
      <c r="CA27" s="449"/>
      <c r="CB27" s="449"/>
      <c r="CC27" s="449"/>
      <c r="CD27" s="449"/>
      <c r="CE27" s="449"/>
      <c r="CF27" s="449"/>
      <c r="CG27" s="449"/>
      <c r="CH27" s="449"/>
      <c r="CI27" s="449"/>
      <c r="CJ27" s="449"/>
      <c r="CK27" s="449"/>
      <c r="CL27" s="449"/>
      <c r="CM27" s="449"/>
      <c r="CN27" s="449"/>
      <c r="CO27" s="449"/>
      <c r="CP27" s="449"/>
    </row>
    <row r="28" ht="16" customHeight="1">
      <c r="A28" s="449"/>
      <c r="B28" s="449"/>
      <c r="C28" s="449"/>
      <c r="D28" s="449"/>
      <c r="E28" s="449"/>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449"/>
      <c r="AL28" s="449"/>
      <c r="AM28" s="449"/>
      <c r="AN28" s="449"/>
      <c r="AO28" s="449"/>
      <c r="AP28" s="449"/>
      <c r="AQ28" s="449"/>
      <c r="AR28" s="449"/>
      <c r="AS28" s="449"/>
      <c r="AT28" s="449"/>
      <c r="AU28" s="449"/>
      <c r="AV28" s="449"/>
      <c r="AW28" s="449"/>
      <c r="AX28" s="449"/>
      <c r="AY28" s="449"/>
      <c r="AZ28" s="449"/>
      <c r="BA28" s="449"/>
      <c r="BB28" s="449"/>
      <c r="BC28" s="449"/>
      <c r="BD28" s="449"/>
      <c r="BE28" s="449"/>
      <c r="BF28" s="449"/>
      <c r="BG28" s="449"/>
      <c r="BH28" s="449"/>
      <c r="BI28" s="449"/>
      <c r="BJ28" s="449"/>
      <c r="BK28" s="449"/>
      <c r="BL28" s="449"/>
      <c r="BM28" s="449"/>
      <c r="BN28" s="449"/>
      <c r="BO28" s="449"/>
      <c r="BP28" s="449"/>
      <c r="BQ28" s="449"/>
      <c r="BR28" s="449"/>
      <c r="BS28" s="449"/>
      <c r="BT28" s="449"/>
      <c r="BU28" s="449"/>
      <c r="BV28" s="449"/>
      <c r="BW28" s="449"/>
      <c r="BX28" s="449"/>
      <c r="BY28" s="449"/>
      <c r="BZ28" s="449"/>
      <c r="CA28" s="449"/>
      <c r="CB28" s="449"/>
      <c r="CC28" s="449"/>
      <c r="CD28" s="449"/>
      <c r="CE28" s="449"/>
      <c r="CF28" s="449"/>
      <c r="CG28" s="449"/>
      <c r="CH28" s="449"/>
      <c r="CI28" s="449"/>
      <c r="CJ28" s="449"/>
      <c r="CK28" s="449"/>
      <c r="CL28" s="449"/>
      <c r="CM28" s="449"/>
      <c r="CN28" s="449"/>
      <c r="CO28" s="449"/>
      <c r="CP28" s="449"/>
    </row>
    <row r="29" ht="16" customHeight="1">
      <c r="A29" s="449"/>
      <c r="B29" s="449"/>
      <c r="C29" s="449"/>
      <c r="D29" s="449"/>
      <c r="E29" s="449"/>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49"/>
      <c r="AM29" s="449"/>
      <c r="AN29" s="449"/>
      <c r="AO29" s="449"/>
      <c r="AP29" s="449"/>
      <c r="AQ29" s="449"/>
      <c r="AR29" s="449"/>
      <c r="AS29" s="449"/>
      <c r="AT29" s="449"/>
      <c r="AU29" s="449"/>
      <c r="AV29" s="449"/>
      <c r="AW29" s="449"/>
      <c r="AX29" s="449"/>
      <c r="AY29" s="449"/>
      <c r="AZ29" s="449"/>
      <c r="BA29" s="449"/>
      <c r="BB29" s="449"/>
      <c r="BC29" s="449"/>
      <c r="BD29" s="449"/>
      <c r="BE29" s="449"/>
      <c r="BF29" s="449"/>
      <c r="BG29" s="449"/>
      <c r="BH29" s="449"/>
      <c r="BI29" s="449"/>
      <c r="BJ29" s="449"/>
      <c r="BK29" s="449"/>
      <c r="BL29" s="449"/>
      <c r="BM29" s="449"/>
      <c r="BN29" s="449"/>
      <c r="BO29" s="449"/>
      <c r="BP29" s="449"/>
      <c r="BQ29" s="449"/>
      <c r="BR29" s="449"/>
      <c r="BS29" s="449"/>
      <c r="BT29" s="449"/>
      <c r="BU29" s="449"/>
      <c r="BV29" s="449"/>
      <c r="BW29" s="449"/>
      <c r="BX29" s="449"/>
      <c r="BY29" s="449"/>
      <c r="BZ29" s="449"/>
      <c r="CA29" s="449"/>
      <c r="CB29" s="449"/>
      <c r="CC29" s="449"/>
      <c r="CD29" s="449"/>
      <c r="CE29" s="449"/>
      <c r="CF29" s="449"/>
      <c r="CG29" s="449"/>
      <c r="CH29" s="449"/>
      <c r="CI29" s="449"/>
      <c r="CJ29" s="449"/>
      <c r="CK29" s="449"/>
      <c r="CL29" s="449"/>
      <c r="CM29" s="449"/>
      <c r="CN29" s="449"/>
      <c r="CO29" s="449"/>
      <c r="CP29" s="449"/>
    </row>
    <row r="30" ht="16" customHeight="1">
      <c r="A30" s="449"/>
      <c r="B30" s="449"/>
      <c r="C30" s="449"/>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49"/>
      <c r="AM30" s="449"/>
      <c r="AN30" s="449"/>
      <c r="AO30" s="449"/>
      <c r="AP30" s="449"/>
      <c r="AQ30" s="449"/>
      <c r="AR30" s="449"/>
      <c r="AS30" s="449"/>
      <c r="AT30" s="449"/>
      <c r="AU30" s="449"/>
      <c r="AV30" s="449"/>
      <c r="AW30" s="449"/>
      <c r="AX30" s="449"/>
      <c r="AY30" s="449"/>
      <c r="AZ30" s="449"/>
      <c r="BA30" s="449"/>
      <c r="BB30" s="449"/>
      <c r="BC30" s="449"/>
      <c r="BD30" s="449"/>
      <c r="BE30" s="449"/>
      <c r="BF30" s="449"/>
      <c r="BG30" s="449"/>
      <c r="BH30" s="449"/>
      <c r="BI30" s="449"/>
      <c r="BJ30" s="449"/>
      <c r="BK30" s="449"/>
      <c r="BL30" s="449"/>
      <c r="BM30" s="449"/>
      <c r="BN30" s="449"/>
      <c r="BO30" s="449"/>
      <c r="BP30" s="449"/>
      <c r="BQ30" s="449"/>
      <c r="BR30" s="449"/>
      <c r="BS30" s="449"/>
      <c r="BT30" s="449"/>
      <c r="BU30" s="449"/>
      <c r="BV30" s="449"/>
      <c r="BW30" s="449"/>
      <c r="BX30" s="449"/>
      <c r="BY30" s="449"/>
      <c r="BZ30" s="449"/>
      <c r="CA30" s="449"/>
      <c r="CB30" s="449"/>
      <c r="CC30" s="449"/>
      <c r="CD30" s="449"/>
      <c r="CE30" s="449"/>
      <c r="CF30" s="449"/>
      <c r="CG30" s="449"/>
      <c r="CH30" s="449"/>
      <c r="CI30" s="449"/>
      <c r="CJ30" s="449"/>
      <c r="CK30" s="449"/>
      <c r="CL30" s="449"/>
      <c r="CM30" s="449"/>
      <c r="CN30" s="449"/>
      <c r="CO30" s="449"/>
      <c r="CP30" s="449"/>
    </row>
    <row r="31" ht="16" customHeight="1">
      <c r="A31" s="449"/>
      <c r="B31" s="449"/>
      <c r="C31" s="449"/>
      <c r="D31" s="449"/>
      <c r="E31" s="449"/>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49"/>
      <c r="AM31" s="449"/>
      <c r="AN31" s="449"/>
      <c r="AO31" s="449"/>
      <c r="AP31" s="449"/>
      <c r="AQ31" s="449"/>
      <c r="AR31" s="449"/>
      <c r="AS31" s="449"/>
      <c r="AT31" s="449"/>
      <c r="AU31" s="449"/>
      <c r="AV31" s="449"/>
      <c r="AW31" s="449"/>
      <c r="AX31" s="449"/>
      <c r="AY31" s="449"/>
      <c r="AZ31" s="449"/>
      <c r="BA31" s="449"/>
      <c r="BB31" s="449"/>
      <c r="BC31" s="449"/>
      <c r="BD31" s="449"/>
      <c r="BE31" s="449"/>
      <c r="BF31" s="449"/>
      <c r="BG31" s="449"/>
      <c r="BH31" s="449"/>
      <c r="BI31" s="449"/>
      <c r="BJ31" s="449"/>
      <c r="BK31" s="449"/>
      <c r="BL31" s="449"/>
      <c r="BM31" s="449"/>
      <c r="BN31" s="449"/>
      <c r="BO31" s="449"/>
      <c r="BP31" s="449"/>
      <c r="BQ31" s="449"/>
      <c r="BR31" s="449"/>
      <c r="BS31" s="449"/>
      <c r="BT31" s="449"/>
      <c r="BU31" s="449"/>
      <c r="BV31" s="449"/>
      <c r="BW31" s="449"/>
      <c r="BX31" s="449"/>
      <c r="BY31" s="449"/>
      <c r="BZ31" s="449"/>
      <c r="CA31" s="449"/>
      <c r="CB31" s="449"/>
      <c r="CC31" s="449"/>
      <c r="CD31" s="449"/>
      <c r="CE31" s="449"/>
      <c r="CF31" s="449"/>
      <c r="CG31" s="449"/>
      <c r="CH31" s="449"/>
      <c r="CI31" s="449"/>
      <c r="CJ31" s="449"/>
      <c r="CK31" s="449"/>
      <c r="CL31" s="449"/>
      <c r="CM31" s="449"/>
      <c r="CN31" s="449"/>
      <c r="CO31" s="449"/>
      <c r="CP31" s="449"/>
    </row>
    <row r="32" ht="16" customHeight="1">
      <c r="A32" s="449"/>
      <c r="B32" s="449"/>
      <c r="C32" s="449"/>
      <c r="D32" s="449"/>
      <c r="E32" s="449"/>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49"/>
      <c r="AM32" s="449"/>
      <c r="AN32" s="449"/>
      <c r="AO32" s="449"/>
      <c r="AP32" s="449"/>
      <c r="AQ32" s="449"/>
      <c r="AR32" s="449"/>
      <c r="AS32" s="449"/>
      <c r="AT32" s="449"/>
      <c r="AU32" s="449"/>
      <c r="AV32" s="449"/>
      <c r="AW32" s="449"/>
      <c r="AX32" s="449"/>
      <c r="AY32" s="449"/>
      <c r="AZ32" s="449"/>
      <c r="BA32" s="449"/>
      <c r="BB32" s="449"/>
      <c r="BC32" s="449"/>
      <c r="BD32" s="449"/>
      <c r="BE32" s="449"/>
      <c r="BF32" s="449"/>
      <c r="BG32" s="449"/>
      <c r="BH32" s="449"/>
      <c r="BI32" s="449"/>
      <c r="BJ32" s="449"/>
      <c r="BK32" s="449"/>
      <c r="BL32" s="449"/>
      <c r="BM32" s="449"/>
      <c r="BN32" s="449"/>
      <c r="BO32" s="449"/>
      <c r="BP32" s="449"/>
      <c r="BQ32" s="449"/>
      <c r="BR32" s="449"/>
      <c r="BS32" s="449"/>
      <c r="BT32" s="449"/>
      <c r="BU32" s="449"/>
      <c r="BV32" s="449"/>
      <c r="BW32" s="449"/>
      <c r="BX32" s="449"/>
      <c r="BY32" s="449"/>
      <c r="BZ32" s="449"/>
      <c r="CA32" s="449"/>
      <c r="CB32" s="449"/>
      <c r="CC32" s="449"/>
      <c r="CD32" s="449"/>
      <c r="CE32" s="449"/>
      <c r="CF32" s="449"/>
      <c r="CG32" s="449"/>
      <c r="CH32" s="449"/>
      <c r="CI32" s="449"/>
      <c r="CJ32" s="449"/>
      <c r="CK32" s="449"/>
      <c r="CL32" s="449"/>
      <c r="CM32" s="449"/>
      <c r="CN32" s="449"/>
      <c r="CO32" s="449"/>
      <c r="CP32" s="449"/>
    </row>
    <row r="33" ht="16" customHeight="1">
      <c r="A33" s="449"/>
      <c r="B33" s="449"/>
      <c r="C33" s="449"/>
      <c r="D33" s="449"/>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49"/>
      <c r="AM33" s="449"/>
      <c r="AN33" s="449"/>
      <c r="AO33" s="449"/>
      <c r="AP33" s="449"/>
      <c r="AQ33" s="449"/>
      <c r="AR33" s="449"/>
      <c r="AS33" s="449"/>
      <c r="AT33" s="449"/>
      <c r="AU33" s="449"/>
      <c r="AV33" s="449"/>
      <c r="AW33" s="449"/>
      <c r="AX33" s="449"/>
      <c r="AY33" s="449"/>
      <c r="AZ33" s="449"/>
      <c r="BA33" s="449"/>
      <c r="BB33" s="449"/>
      <c r="BC33" s="449"/>
      <c r="BD33" s="449"/>
      <c r="BE33" s="449"/>
      <c r="BF33" s="449"/>
      <c r="BG33" s="449"/>
      <c r="BH33" s="449"/>
      <c r="BI33" s="449"/>
      <c r="BJ33" s="449"/>
      <c r="BK33" s="449"/>
      <c r="BL33" s="449"/>
      <c r="BM33" s="449"/>
      <c r="BN33" s="449"/>
      <c r="BO33" s="449"/>
      <c r="BP33" s="449"/>
      <c r="BQ33" s="449"/>
      <c r="BR33" s="449"/>
      <c r="BS33" s="449"/>
      <c r="BT33" s="449"/>
      <c r="BU33" s="449"/>
      <c r="BV33" s="449"/>
      <c r="BW33" s="449"/>
      <c r="BX33" s="449"/>
      <c r="BY33" s="449"/>
      <c r="BZ33" s="449"/>
      <c r="CA33" s="449"/>
      <c r="CB33" s="449"/>
      <c r="CC33" s="449"/>
      <c r="CD33" s="449"/>
      <c r="CE33" s="449"/>
      <c r="CF33" s="449"/>
      <c r="CG33" s="449"/>
      <c r="CH33" s="449"/>
      <c r="CI33" s="449"/>
      <c r="CJ33" s="449"/>
      <c r="CK33" s="449"/>
      <c r="CL33" s="449"/>
      <c r="CM33" s="449"/>
      <c r="CN33" s="449"/>
      <c r="CO33" s="449"/>
      <c r="CP33" s="449"/>
    </row>
    <row r="34" ht="16" customHeight="1">
      <c r="A34" s="449"/>
      <c r="B34" s="449"/>
      <c r="C34" s="449"/>
      <c r="D34" s="449"/>
      <c r="E34" s="449"/>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49"/>
      <c r="AM34" s="449"/>
      <c r="AN34" s="449"/>
      <c r="AO34" s="449"/>
      <c r="AP34" s="449"/>
      <c r="AQ34" s="449"/>
      <c r="AR34" s="449"/>
      <c r="AS34" s="449"/>
      <c r="AT34" s="449"/>
      <c r="AU34" s="449"/>
      <c r="AV34" s="449"/>
      <c r="AW34" s="449"/>
      <c r="AX34" s="449"/>
      <c r="AY34" s="449"/>
      <c r="AZ34" s="449"/>
      <c r="BA34" s="449"/>
      <c r="BB34" s="449"/>
      <c r="BC34" s="449"/>
      <c r="BD34" s="449"/>
      <c r="BE34" s="449"/>
      <c r="BF34" s="449"/>
      <c r="BG34" s="449"/>
      <c r="BH34" s="449"/>
      <c r="BI34" s="449"/>
      <c r="BJ34" s="449"/>
      <c r="BK34" s="449"/>
      <c r="BL34" s="449"/>
      <c r="BM34" s="449"/>
      <c r="BN34" s="449"/>
      <c r="BO34" s="449"/>
      <c r="BP34" s="449"/>
      <c r="BQ34" s="449"/>
      <c r="BR34" s="449"/>
      <c r="BS34" s="449"/>
      <c r="BT34" s="449"/>
      <c r="BU34" s="449"/>
      <c r="BV34" s="449"/>
      <c r="BW34" s="449"/>
      <c r="BX34" s="449"/>
      <c r="BY34" s="449"/>
      <c r="BZ34" s="449"/>
      <c r="CA34" s="449"/>
      <c r="CB34" s="449"/>
      <c r="CC34" s="449"/>
      <c r="CD34" s="449"/>
      <c r="CE34" s="449"/>
      <c r="CF34" s="449"/>
      <c r="CG34" s="449"/>
      <c r="CH34" s="449"/>
      <c r="CI34" s="449"/>
      <c r="CJ34" s="449"/>
      <c r="CK34" s="449"/>
      <c r="CL34" s="449"/>
      <c r="CM34" s="449"/>
      <c r="CN34" s="449"/>
      <c r="CO34" s="449"/>
      <c r="CP34" s="449"/>
    </row>
    <row r="35" ht="16" customHeight="1">
      <c r="A35" s="449"/>
      <c r="B35" s="449"/>
      <c r="C35" s="449"/>
      <c r="D35" s="449"/>
      <c r="E35" s="4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49"/>
      <c r="AM35" s="449"/>
      <c r="AN35" s="449"/>
      <c r="AO35" s="449"/>
      <c r="AP35" s="449"/>
      <c r="AQ35" s="449"/>
      <c r="AR35" s="449"/>
      <c r="AS35" s="449"/>
      <c r="AT35" s="449"/>
      <c r="AU35" s="449"/>
      <c r="AV35" s="449"/>
      <c r="AW35" s="449"/>
      <c r="AX35" s="449"/>
      <c r="AY35" s="449"/>
      <c r="AZ35" s="449"/>
      <c r="BA35" s="449"/>
      <c r="BB35" s="449"/>
      <c r="BC35" s="449"/>
      <c r="BD35" s="449"/>
      <c r="BE35" s="449"/>
      <c r="BF35" s="449"/>
      <c r="BG35" s="449"/>
      <c r="BH35" s="449"/>
      <c r="BI35" s="449"/>
      <c r="BJ35" s="449"/>
      <c r="BK35" s="449"/>
      <c r="BL35" s="449"/>
      <c r="BM35" s="449"/>
      <c r="BN35" s="449"/>
      <c r="BO35" s="449"/>
      <c r="BP35" s="449"/>
      <c r="BQ35" s="449"/>
      <c r="BR35" s="449"/>
      <c r="BS35" s="449"/>
      <c r="BT35" s="449"/>
      <c r="BU35" s="449"/>
      <c r="BV35" s="449"/>
      <c r="BW35" s="449"/>
      <c r="BX35" s="449"/>
      <c r="BY35" s="449"/>
      <c r="BZ35" s="449"/>
      <c r="CA35" s="449"/>
      <c r="CB35" s="449"/>
      <c r="CC35" s="449"/>
      <c r="CD35" s="449"/>
      <c r="CE35" s="449"/>
      <c r="CF35" s="449"/>
      <c r="CG35" s="449"/>
      <c r="CH35" s="449"/>
      <c r="CI35" s="449"/>
      <c r="CJ35" s="449"/>
      <c r="CK35" s="449"/>
      <c r="CL35" s="449"/>
      <c r="CM35" s="449"/>
      <c r="CN35" s="449"/>
      <c r="CO35" s="449"/>
      <c r="CP35" s="449"/>
    </row>
    <row r="36" ht="16" customHeight="1">
      <c r="A36" s="449"/>
      <c r="B36" s="449"/>
      <c r="C36" s="449"/>
      <c r="D36" s="449"/>
      <c r="E36" s="449"/>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449"/>
      <c r="AM36" s="449"/>
      <c r="AN36" s="449"/>
      <c r="AO36" s="449"/>
      <c r="AP36" s="449"/>
      <c r="AQ36" s="449"/>
      <c r="AR36" s="449"/>
      <c r="AS36" s="449"/>
      <c r="AT36" s="449"/>
      <c r="AU36" s="449"/>
      <c r="AV36" s="449"/>
      <c r="AW36" s="449"/>
      <c r="AX36" s="449"/>
      <c r="AY36" s="449"/>
      <c r="AZ36" s="449"/>
      <c r="BA36" s="449"/>
      <c r="BB36" s="449"/>
      <c r="BC36" s="449"/>
      <c r="BD36" s="449"/>
      <c r="BE36" s="449"/>
      <c r="BF36" s="449"/>
      <c r="BG36" s="449"/>
      <c r="BH36" s="449"/>
      <c r="BI36" s="449"/>
      <c r="BJ36" s="449"/>
      <c r="BK36" s="449"/>
      <c r="BL36" s="449"/>
      <c r="BM36" s="449"/>
      <c r="BN36" s="449"/>
      <c r="BO36" s="449"/>
      <c r="BP36" s="449"/>
      <c r="BQ36" s="449"/>
      <c r="BR36" s="449"/>
      <c r="BS36" s="449"/>
      <c r="BT36" s="449"/>
      <c r="BU36" s="449"/>
      <c r="BV36" s="449"/>
      <c r="BW36" s="449"/>
      <c r="BX36" s="449"/>
      <c r="BY36" s="449"/>
      <c r="BZ36" s="449"/>
      <c r="CA36" s="449"/>
      <c r="CB36" s="449"/>
      <c r="CC36" s="449"/>
      <c r="CD36" s="449"/>
      <c r="CE36" s="449"/>
      <c r="CF36" s="449"/>
      <c r="CG36" s="449"/>
      <c r="CH36" s="449"/>
      <c r="CI36" s="449"/>
      <c r="CJ36" s="449"/>
      <c r="CK36" s="449"/>
      <c r="CL36" s="449"/>
      <c r="CM36" s="449"/>
      <c r="CN36" s="449"/>
      <c r="CO36" s="449"/>
      <c r="CP36" s="449"/>
    </row>
    <row r="37" ht="16" customHeight="1">
      <c r="A37" s="449"/>
      <c r="B37" s="449"/>
      <c r="C37" s="449"/>
      <c r="D37" s="449"/>
      <c r="E37" s="449"/>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49"/>
      <c r="AM37" s="449"/>
      <c r="AN37" s="449"/>
      <c r="AO37" s="449"/>
      <c r="AP37" s="449"/>
      <c r="AQ37" s="449"/>
      <c r="AR37" s="449"/>
      <c r="AS37" s="449"/>
      <c r="AT37" s="449"/>
      <c r="AU37" s="449"/>
      <c r="AV37" s="449"/>
      <c r="AW37" s="449"/>
      <c r="AX37" s="449"/>
      <c r="AY37" s="449"/>
      <c r="AZ37" s="449"/>
      <c r="BA37" s="449"/>
      <c r="BB37" s="449"/>
      <c r="BC37" s="449"/>
      <c r="BD37" s="449"/>
      <c r="BE37" s="449"/>
      <c r="BF37" s="449"/>
      <c r="BG37" s="449"/>
      <c r="BH37" s="449"/>
      <c r="BI37" s="449"/>
      <c r="BJ37" s="449"/>
      <c r="BK37" s="449"/>
      <c r="BL37" s="449"/>
      <c r="BM37" s="449"/>
      <c r="BN37" s="449"/>
      <c r="BO37" s="449"/>
      <c r="BP37" s="449"/>
      <c r="BQ37" s="449"/>
      <c r="BR37" s="449"/>
      <c r="BS37" s="449"/>
      <c r="BT37" s="449"/>
      <c r="BU37" s="449"/>
      <c r="BV37" s="449"/>
      <c r="BW37" s="449"/>
      <c r="BX37" s="449"/>
      <c r="BY37" s="449"/>
      <c r="BZ37" s="449"/>
      <c r="CA37" s="449"/>
      <c r="CB37" s="449"/>
      <c r="CC37" s="449"/>
      <c r="CD37" s="449"/>
      <c r="CE37" s="449"/>
      <c r="CF37" s="449"/>
      <c r="CG37" s="449"/>
      <c r="CH37" s="449"/>
      <c r="CI37" s="449"/>
      <c r="CJ37" s="449"/>
      <c r="CK37" s="449"/>
      <c r="CL37" s="449"/>
      <c r="CM37" s="449"/>
      <c r="CN37" s="449"/>
      <c r="CO37" s="449"/>
      <c r="CP37" s="449"/>
    </row>
    <row r="38" ht="16" customHeight="1">
      <c r="A38" s="449"/>
      <c r="B38" s="449"/>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49"/>
      <c r="AM38" s="449"/>
      <c r="AN38" s="449"/>
      <c r="AO38" s="449"/>
      <c r="AP38" s="449"/>
      <c r="AQ38" s="449"/>
      <c r="AR38" s="449"/>
      <c r="AS38" s="449"/>
      <c r="AT38" s="449"/>
      <c r="AU38" s="449"/>
      <c r="AV38" s="449"/>
      <c r="AW38" s="449"/>
      <c r="AX38" s="449"/>
      <c r="AY38" s="449"/>
      <c r="AZ38" s="449"/>
      <c r="BA38" s="449"/>
      <c r="BB38" s="449"/>
      <c r="BC38" s="449"/>
      <c r="BD38" s="449"/>
      <c r="BE38" s="449"/>
      <c r="BF38" s="449"/>
      <c r="BG38" s="449"/>
      <c r="BH38" s="449"/>
      <c r="BI38" s="449"/>
      <c r="BJ38" s="449"/>
      <c r="BK38" s="449"/>
      <c r="BL38" s="449"/>
      <c r="BM38" s="449"/>
      <c r="BN38" s="449"/>
      <c r="BO38" s="449"/>
      <c r="BP38" s="449"/>
      <c r="BQ38" s="449"/>
      <c r="BR38" s="449"/>
      <c r="BS38" s="449"/>
      <c r="BT38" s="449"/>
      <c r="BU38" s="449"/>
      <c r="BV38" s="449"/>
      <c r="BW38" s="449"/>
      <c r="BX38" s="449"/>
      <c r="BY38" s="449"/>
      <c r="BZ38" s="449"/>
      <c r="CA38" s="449"/>
      <c r="CB38" s="449"/>
      <c r="CC38" s="449"/>
      <c r="CD38" s="449"/>
      <c r="CE38" s="449"/>
      <c r="CF38" s="449"/>
      <c r="CG38" s="449"/>
      <c r="CH38" s="449"/>
      <c r="CI38" s="449"/>
      <c r="CJ38" s="449"/>
      <c r="CK38" s="449"/>
      <c r="CL38" s="449"/>
      <c r="CM38" s="449"/>
      <c r="CN38" s="449"/>
      <c r="CO38" s="449"/>
      <c r="CP38" s="449"/>
    </row>
    <row r="39" ht="16" customHeight="1">
      <c r="A39" s="449"/>
      <c r="B39" s="449"/>
      <c r="C39" s="449"/>
      <c r="D39" s="449"/>
      <c r="E39" s="449"/>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449"/>
      <c r="AI39" s="449"/>
      <c r="AJ39" s="449"/>
      <c r="AK39" s="449"/>
      <c r="AL39" s="449"/>
      <c r="AM39" s="449"/>
      <c r="AN39" s="449"/>
      <c r="AO39" s="449"/>
      <c r="AP39" s="449"/>
      <c r="AQ39" s="449"/>
      <c r="AR39" s="449"/>
      <c r="AS39" s="449"/>
      <c r="AT39" s="449"/>
      <c r="AU39" s="449"/>
      <c r="AV39" s="449"/>
      <c r="AW39" s="449"/>
      <c r="AX39" s="449"/>
      <c r="AY39" s="449"/>
      <c r="AZ39" s="449"/>
      <c r="BA39" s="449"/>
      <c r="BB39" s="449"/>
      <c r="BC39" s="449"/>
      <c r="BD39" s="449"/>
      <c r="BE39" s="449"/>
      <c r="BF39" s="449"/>
      <c r="BG39" s="449"/>
      <c r="BH39" s="449"/>
      <c r="BI39" s="449"/>
      <c r="BJ39" s="449"/>
      <c r="BK39" s="449"/>
      <c r="BL39" s="449"/>
      <c r="BM39" s="449"/>
      <c r="BN39" s="449"/>
      <c r="BO39" s="449"/>
      <c r="BP39" s="449"/>
      <c r="BQ39" s="449"/>
      <c r="BR39" s="449"/>
      <c r="BS39" s="449"/>
      <c r="BT39" s="449"/>
      <c r="BU39" s="449"/>
      <c r="BV39" s="449"/>
      <c r="BW39" s="449"/>
      <c r="BX39" s="449"/>
      <c r="BY39" s="449"/>
      <c r="BZ39" s="449"/>
      <c r="CA39" s="449"/>
      <c r="CB39" s="449"/>
      <c r="CC39" s="449"/>
      <c r="CD39" s="449"/>
      <c r="CE39" s="449"/>
      <c r="CF39" s="449"/>
      <c r="CG39" s="449"/>
      <c r="CH39" s="449"/>
      <c r="CI39" s="449"/>
      <c r="CJ39" s="449"/>
      <c r="CK39" s="449"/>
      <c r="CL39" s="449"/>
      <c r="CM39" s="449"/>
      <c r="CN39" s="449"/>
      <c r="CO39" s="449"/>
      <c r="CP39" s="449"/>
    </row>
    <row r="40" ht="16" customHeight="1">
      <c r="A40" s="449"/>
      <c r="B40" s="449"/>
      <c r="C40" s="449"/>
      <c r="D40" s="449"/>
      <c r="E40" s="449"/>
      <c r="F40" s="449"/>
      <c r="G40" s="449"/>
      <c r="H40" s="449"/>
      <c r="I40" s="449"/>
      <c r="J40" s="449"/>
      <c r="K40" s="449"/>
      <c r="L40" s="449"/>
      <c r="M40" s="449"/>
      <c r="N40" s="449"/>
      <c r="O40" s="449"/>
      <c r="P40" s="449"/>
      <c r="Q40" s="449"/>
      <c r="R40" s="449"/>
      <c r="S40" s="449"/>
      <c r="T40" s="449"/>
      <c r="U40" s="449"/>
      <c r="V40" s="449"/>
      <c r="W40" s="449"/>
      <c r="X40" s="449"/>
      <c r="Y40" s="449"/>
      <c r="Z40" s="449"/>
      <c r="AA40" s="449"/>
      <c r="AB40" s="449"/>
      <c r="AC40" s="449"/>
      <c r="AD40" s="449"/>
      <c r="AE40" s="449"/>
      <c r="AF40" s="449"/>
      <c r="AG40" s="449"/>
      <c r="AH40" s="449"/>
      <c r="AI40" s="449"/>
      <c r="AJ40" s="449"/>
      <c r="AK40" s="449"/>
      <c r="AL40" s="449"/>
      <c r="AM40" s="449"/>
      <c r="AN40" s="449"/>
      <c r="AO40" s="449"/>
      <c r="AP40" s="449"/>
      <c r="AQ40" s="449"/>
      <c r="AR40" s="449"/>
      <c r="AS40" s="449"/>
      <c r="AT40" s="449"/>
      <c r="AU40" s="449"/>
      <c r="AV40" s="449"/>
      <c r="AW40" s="449"/>
      <c r="AX40" s="449"/>
      <c r="AY40" s="449"/>
      <c r="AZ40" s="449"/>
      <c r="BA40" s="449"/>
      <c r="BB40" s="449"/>
      <c r="BC40" s="449"/>
      <c r="BD40" s="449"/>
      <c r="BE40" s="449"/>
      <c r="BF40" s="449"/>
      <c r="BG40" s="449"/>
      <c r="BH40" s="449"/>
      <c r="BI40" s="449"/>
      <c r="BJ40" s="449"/>
      <c r="BK40" s="449"/>
      <c r="BL40" s="449"/>
      <c r="BM40" s="449"/>
      <c r="BN40" s="449"/>
      <c r="BO40" s="449"/>
      <c r="BP40" s="449"/>
      <c r="BQ40" s="449"/>
      <c r="BR40" s="449"/>
      <c r="BS40" s="449"/>
      <c r="BT40" s="449"/>
      <c r="BU40" s="449"/>
      <c r="BV40" s="449"/>
      <c r="BW40" s="449"/>
      <c r="BX40" s="449"/>
      <c r="BY40" s="449"/>
      <c r="BZ40" s="449"/>
      <c r="CA40" s="449"/>
      <c r="CB40" s="449"/>
      <c r="CC40" s="449"/>
      <c r="CD40" s="449"/>
      <c r="CE40" s="449"/>
      <c r="CF40" s="449"/>
      <c r="CG40" s="449"/>
      <c r="CH40" s="449"/>
      <c r="CI40" s="449"/>
      <c r="CJ40" s="449"/>
      <c r="CK40" s="449"/>
      <c r="CL40" s="449"/>
      <c r="CM40" s="449"/>
      <c r="CN40" s="449"/>
      <c r="CO40" s="449"/>
      <c r="CP40" s="449"/>
    </row>
    <row r="41" ht="16" customHeight="1">
      <c r="A41" s="449"/>
      <c r="B41" s="449"/>
      <c r="C41" s="449"/>
      <c r="D41" s="449"/>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49"/>
      <c r="AK41" s="449"/>
      <c r="AL41" s="449"/>
      <c r="AM41" s="449"/>
      <c r="AN41" s="449"/>
      <c r="AO41" s="449"/>
      <c r="AP41" s="449"/>
      <c r="AQ41" s="449"/>
      <c r="AR41" s="449"/>
      <c r="AS41" s="449"/>
      <c r="AT41" s="449"/>
      <c r="AU41" s="449"/>
      <c r="AV41" s="449"/>
      <c r="AW41" s="449"/>
      <c r="AX41" s="449"/>
      <c r="AY41" s="449"/>
      <c r="AZ41" s="449"/>
      <c r="BA41" s="449"/>
      <c r="BB41" s="449"/>
      <c r="BC41" s="449"/>
      <c r="BD41" s="449"/>
      <c r="BE41" s="449"/>
      <c r="BF41" s="449"/>
      <c r="BG41" s="449"/>
      <c r="BH41" s="449"/>
      <c r="BI41" s="449"/>
      <c r="BJ41" s="449"/>
      <c r="BK41" s="449"/>
      <c r="BL41" s="449"/>
      <c r="BM41" s="449"/>
      <c r="BN41" s="449"/>
      <c r="BO41" s="449"/>
      <c r="BP41" s="449"/>
      <c r="BQ41" s="449"/>
      <c r="BR41" s="449"/>
      <c r="BS41" s="449"/>
      <c r="BT41" s="449"/>
      <c r="BU41" s="449"/>
      <c r="BV41" s="449"/>
      <c r="BW41" s="449"/>
      <c r="BX41" s="449"/>
      <c r="BY41" s="449"/>
      <c r="BZ41" s="449"/>
      <c r="CA41" s="449"/>
      <c r="CB41" s="449"/>
      <c r="CC41" s="449"/>
      <c r="CD41" s="449"/>
      <c r="CE41" s="449"/>
      <c r="CF41" s="449"/>
      <c r="CG41" s="449"/>
      <c r="CH41" s="449"/>
      <c r="CI41" s="449"/>
      <c r="CJ41" s="449"/>
      <c r="CK41" s="449"/>
      <c r="CL41" s="449"/>
      <c r="CM41" s="449"/>
      <c r="CN41" s="449"/>
      <c r="CO41" s="449"/>
      <c r="CP41" s="449"/>
    </row>
    <row r="42" ht="16" customHeight="1">
      <c r="A42" s="449"/>
      <c r="B42" s="449"/>
      <c r="C42" s="449"/>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49"/>
      <c r="AJ42" s="449"/>
      <c r="AK42" s="449"/>
      <c r="AL42" s="449"/>
      <c r="AM42" s="449"/>
      <c r="AN42" s="449"/>
      <c r="AO42" s="449"/>
      <c r="AP42" s="449"/>
      <c r="AQ42" s="449"/>
      <c r="AR42" s="449"/>
      <c r="AS42" s="449"/>
      <c r="AT42" s="449"/>
      <c r="AU42" s="449"/>
      <c r="AV42" s="449"/>
      <c r="AW42" s="449"/>
      <c r="AX42" s="449"/>
      <c r="AY42" s="449"/>
      <c r="AZ42" s="449"/>
      <c r="BA42" s="449"/>
      <c r="BB42" s="449"/>
      <c r="BC42" s="449"/>
      <c r="BD42" s="449"/>
      <c r="BE42" s="449"/>
      <c r="BF42" s="449"/>
      <c r="BG42" s="449"/>
      <c r="BH42" s="449"/>
      <c r="BI42" s="449"/>
      <c r="BJ42" s="449"/>
      <c r="BK42" s="449"/>
      <c r="BL42" s="449"/>
      <c r="BM42" s="449"/>
      <c r="BN42" s="449"/>
      <c r="BO42" s="449"/>
      <c r="BP42" s="449"/>
      <c r="BQ42" s="449"/>
      <c r="BR42" s="449"/>
      <c r="BS42" s="449"/>
      <c r="BT42" s="449"/>
      <c r="BU42" s="449"/>
      <c r="BV42" s="449"/>
      <c r="BW42" s="449"/>
      <c r="BX42" s="449"/>
      <c r="BY42" s="449"/>
      <c r="BZ42" s="449"/>
      <c r="CA42" s="449"/>
      <c r="CB42" s="449"/>
      <c r="CC42" s="449"/>
      <c r="CD42" s="449"/>
      <c r="CE42" s="449"/>
      <c r="CF42" s="449"/>
      <c r="CG42" s="449"/>
      <c r="CH42" s="449"/>
      <c r="CI42" s="449"/>
      <c r="CJ42" s="449"/>
      <c r="CK42" s="449"/>
      <c r="CL42" s="449"/>
      <c r="CM42" s="449"/>
      <c r="CN42" s="449"/>
      <c r="CO42" s="449"/>
      <c r="CP42" s="449"/>
    </row>
    <row r="43" ht="16" customHeight="1">
      <c r="A43" s="449"/>
      <c r="B43" s="449"/>
      <c r="C43" s="449"/>
      <c r="D43" s="449"/>
      <c r="E43" s="449"/>
      <c r="F43" s="449"/>
      <c r="G43" s="449"/>
      <c r="H43" s="449"/>
      <c r="I43" s="449"/>
      <c r="J43" s="449"/>
      <c r="K43" s="449"/>
      <c r="L43" s="449"/>
      <c r="M43" s="449"/>
      <c r="N43" s="449"/>
      <c r="O43" s="449"/>
      <c r="P43" s="449"/>
      <c r="Q43" s="449"/>
      <c r="R43" s="449"/>
      <c r="S43" s="449"/>
      <c r="T43" s="449"/>
      <c r="U43" s="449"/>
      <c r="V43" s="449"/>
      <c r="W43" s="449"/>
      <c r="X43" s="449"/>
      <c r="Y43" s="449"/>
      <c r="Z43" s="449"/>
      <c r="AA43" s="449"/>
      <c r="AB43" s="449"/>
      <c r="AC43" s="449"/>
      <c r="AD43" s="449"/>
      <c r="AE43" s="449"/>
      <c r="AF43" s="449"/>
      <c r="AG43" s="449"/>
      <c r="AH43" s="449"/>
      <c r="AI43" s="449"/>
      <c r="AJ43" s="449"/>
      <c r="AK43" s="449"/>
      <c r="AL43" s="449"/>
      <c r="AM43" s="449"/>
      <c r="AN43" s="449"/>
      <c r="AO43" s="449"/>
      <c r="AP43" s="449"/>
      <c r="AQ43" s="449"/>
      <c r="AR43" s="449"/>
      <c r="AS43" s="449"/>
      <c r="AT43" s="449"/>
      <c r="AU43" s="449"/>
      <c r="AV43" s="449"/>
      <c r="AW43" s="449"/>
      <c r="AX43" s="449"/>
      <c r="AY43" s="449"/>
      <c r="AZ43" s="449"/>
      <c r="BA43" s="449"/>
      <c r="BB43" s="449"/>
      <c r="BC43" s="449"/>
      <c r="BD43" s="449"/>
      <c r="BE43" s="449"/>
      <c r="BF43" s="449"/>
      <c r="BG43" s="449"/>
      <c r="BH43" s="449"/>
      <c r="BI43" s="449"/>
      <c r="BJ43" s="449"/>
      <c r="BK43" s="449"/>
      <c r="BL43" s="449"/>
      <c r="BM43" s="449"/>
      <c r="BN43" s="449"/>
      <c r="BO43" s="449"/>
      <c r="BP43" s="449"/>
      <c r="BQ43" s="449"/>
      <c r="BR43" s="449"/>
      <c r="BS43" s="449"/>
      <c r="BT43" s="449"/>
      <c r="BU43" s="449"/>
      <c r="BV43" s="449"/>
      <c r="BW43" s="449"/>
      <c r="BX43" s="449"/>
      <c r="BY43" s="449"/>
      <c r="BZ43" s="449"/>
      <c r="CA43" s="449"/>
      <c r="CB43" s="449"/>
      <c r="CC43" s="449"/>
      <c r="CD43" s="449"/>
      <c r="CE43" s="449"/>
      <c r="CF43" s="449"/>
      <c r="CG43" s="449"/>
      <c r="CH43" s="449"/>
      <c r="CI43" s="449"/>
      <c r="CJ43" s="449"/>
      <c r="CK43" s="449"/>
      <c r="CL43" s="449"/>
      <c r="CM43" s="449"/>
      <c r="CN43" s="449"/>
      <c r="CO43" s="449"/>
      <c r="CP43" s="449"/>
    </row>
    <row r="44" ht="16" customHeight="1">
      <c r="A44" s="449"/>
      <c r="B44" s="449"/>
      <c r="C44" s="449"/>
      <c r="D44" s="449"/>
      <c r="E44" s="449"/>
      <c r="F44" s="449"/>
      <c r="G44" s="449"/>
      <c r="H44" s="449"/>
      <c r="I44" s="449"/>
      <c r="J44" s="449"/>
      <c r="K44" s="449"/>
      <c r="L44" s="449"/>
      <c r="M44" s="449"/>
      <c r="N44" s="449"/>
      <c r="O44" s="449"/>
      <c r="P44" s="449"/>
      <c r="Q44" s="449"/>
      <c r="R44" s="449"/>
      <c r="S44" s="449"/>
      <c r="T44" s="449"/>
      <c r="U44" s="449"/>
      <c r="V44" s="449"/>
      <c r="W44" s="449"/>
      <c r="X44" s="449"/>
      <c r="Y44" s="449"/>
      <c r="Z44" s="449"/>
      <c r="AA44" s="449"/>
      <c r="AB44" s="449"/>
      <c r="AC44" s="449"/>
      <c r="AD44" s="449"/>
      <c r="AE44" s="449"/>
      <c r="AF44" s="449"/>
      <c r="AG44" s="449"/>
      <c r="AH44" s="449"/>
      <c r="AI44" s="449"/>
      <c r="AJ44" s="449"/>
      <c r="AK44" s="449"/>
      <c r="AL44" s="449"/>
      <c r="AM44" s="449"/>
      <c r="AN44" s="449"/>
      <c r="AO44" s="449"/>
      <c r="AP44" s="449"/>
      <c r="AQ44" s="449"/>
      <c r="AR44" s="449"/>
      <c r="AS44" s="449"/>
      <c r="AT44" s="449"/>
      <c r="AU44" s="449"/>
      <c r="AV44" s="449"/>
      <c r="AW44" s="449"/>
      <c r="AX44" s="449"/>
      <c r="AY44" s="449"/>
      <c r="AZ44" s="449"/>
      <c r="BA44" s="449"/>
      <c r="BB44" s="449"/>
      <c r="BC44" s="449"/>
      <c r="BD44" s="449"/>
      <c r="BE44" s="449"/>
      <c r="BF44" s="449"/>
      <c r="BG44" s="449"/>
      <c r="BH44" s="449"/>
      <c r="BI44" s="449"/>
      <c r="BJ44" s="449"/>
      <c r="BK44" s="449"/>
      <c r="BL44" s="449"/>
      <c r="BM44" s="449"/>
      <c r="BN44" s="449"/>
      <c r="BO44" s="449"/>
      <c r="BP44" s="449"/>
      <c r="BQ44" s="449"/>
      <c r="BR44" s="449"/>
      <c r="BS44" s="449"/>
      <c r="BT44" s="449"/>
      <c r="BU44" s="449"/>
      <c r="BV44" s="449"/>
      <c r="BW44" s="449"/>
      <c r="BX44" s="449"/>
      <c r="BY44" s="449"/>
      <c r="BZ44" s="449"/>
      <c r="CA44" s="449"/>
      <c r="CB44" s="449"/>
      <c r="CC44" s="449"/>
      <c r="CD44" s="449"/>
      <c r="CE44" s="449"/>
      <c r="CF44" s="449"/>
      <c r="CG44" s="449"/>
      <c r="CH44" s="449"/>
      <c r="CI44" s="449"/>
      <c r="CJ44" s="449"/>
      <c r="CK44" s="449"/>
      <c r="CL44" s="449"/>
      <c r="CM44" s="449"/>
      <c r="CN44" s="449"/>
      <c r="CO44" s="449"/>
      <c r="CP44" s="449"/>
    </row>
    <row r="45" ht="16" customHeight="1">
      <c r="A45" s="449"/>
      <c r="B45" s="449"/>
      <c r="C45" s="449"/>
      <c r="D45" s="449"/>
      <c r="E45" s="449"/>
      <c r="F45" s="449"/>
      <c r="G45" s="449"/>
      <c r="H45" s="449"/>
      <c r="I45" s="449"/>
      <c r="J45" s="449"/>
      <c r="K45" s="449"/>
      <c r="L45" s="449"/>
      <c r="M45" s="449"/>
      <c r="N45" s="449"/>
      <c r="O45" s="449"/>
      <c r="P45" s="449"/>
      <c r="Q45" s="449"/>
      <c r="R45" s="449"/>
      <c r="S45" s="449"/>
      <c r="T45" s="449"/>
      <c r="U45" s="449"/>
      <c r="V45" s="449"/>
      <c r="W45" s="449"/>
      <c r="X45" s="449"/>
      <c r="Y45" s="449"/>
      <c r="Z45" s="449"/>
      <c r="AA45" s="449"/>
      <c r="AB45" s="449"/>
      <c r="AC45" s="449"/>
      <c r="AD45" s="449"/>
      <c r="AE45" s="449"/>
      <c r="AF45" s="449"/>
      <c r="AG45" s="449"/>
      <c r="AH45" s="449"/>
      <c r="AI45" s="449"/>
      <c r="AJ45" s="449"/>
      <c r="AK45" s="449"/>
      <c r="AL45" s="449"/>
      <c r="AM45" s="449"/>
      <c r="AN45" s="449"/>
      <c r="AO45" s="449"/>
      <c r="AP45" s="449"/>
      <c r="AQ45" s="449"/>
      <c r="AR45" s="449"/>
      <c r="AS45" s="449"/>
      <c r="AT45" s="449"/>
      <c r="AU45" s="449"/>
      <c r="AV45" s="449"/>
      <c r="AW45" s="449"/>
      <c r="AX45" s="449"/>
      <c r="AY45" s="449"/>
      <c r="AZ45" s="449"/>
      <c r="BA45" s="449"/>
      <c r="BB45" s="449"/>
      <c r="BC45" s="449"/>
      <c r="BD45" s="449"/>
      <c r="BE45" s="449"/>
      <c r="BF45" s="449"/>
      <c r="BG45" s="449"/>
      <c r="BH45" s="449"/>
      <c r="BI45" s="449"/>
      <c r="BJ45" s="449"/>
      <c r="BK45" s="449"/>
      <c r="BL45" s="449"/>
      <c r="BM45" s="449"/>
      <c r="BN45" s="449"/>
      <c r="BO45" s="449"/>
      <c r="BP45" s="449"/>
      <c r="BQ45" s="449"/>
      <c r="BR45" s="449"/>
      <c r="BS45" s="449"/>
      <c r="BT45" s="449"/>
      <c r="BU45" s="449"/>
      <c r="BV45" s="449"/>
      <c r="BW45" s="449"/>
      <c r="BX45" s="449"/>
      <c r="BY45" s="449"/>
      <c r="BZ45" s="449"/>
      <c r="CA45" s="449"/>
      <c r="CB45" s="449"/>
      <c r="CC45" s="449"/>
      <c r="CD45" s="449"/>
      <c r="CE45" s="449"/>
      <c r="CF45" s="449"/>
      <c r="CG45" s="449"/>
      <c r="CH45" s="449"/>
      <c r="CI45" s="449"/>
      <c r="CJ45" s="449"/>
      <c r="CK45" s="449"/>
      <c r="CL45" s="449"/>
      <c r="CM45" s="449"/>
      <c r="CN45" s="449"/>
      <c r="CO45" s="449"/>
      <c r="CP45" s="449"/>
    </row>
    <row r="46" ht="16" customHeight="1">
      <c r="A46" s="449"/>
      <c r="B46" s="449"/>
      <c r="C46" s="449"/>
      <c r="D46" s="449"/>
      <c r="E46" s="449"/>
      <c r="F46" s="449"/>
      <c r="G46" s="449"/>
      <c r="H46" s="449"/>
      <c r="I46" s="449"/>
      <c r="J46" s="449"/>
      <c r="K46" s="449"/>
      <c r="L46" s="449"/>
      <c r="M46" s="449"/>
      <c r="N46" s="449"/>
      <c r="O46" s="449"/>
      <c r="P46" s="449"/>
      <c r="Q46" s="449"/>
      <c r="R46" s="449"/>
      <c r="S46" s="449"/>
      <c r="T46" s="449"/>
      <c r="U46" s="449"/>
      <c r="V46" s="449"/>
      <c r="W46" s="449"/>
      <c r="X46" s="449"/>
      <c r="Y46" s="449"/>
      <c r="Z46" s="449"/>
      <c r="AA46" s="449"/>
      <c r="AB46" s="449"/>
      <c r="AC46" s="449"/>
      <c r="AD46" s="449"/>
      <c r="AE46" s="449"/>
      <c r="AF46" s="449"/>
      <c r="AG46" s="449"/>
      <c r="AH46" s="449"/>
      <c r="AI46" s="449"/>
      <c r="AJ46" s="449"/>
      <c r="AK46" s="449"/>
      <c r="AL46" s="449"/>
      <c r="AM46" s="449"/>
      <c r="AN46" s="449"/>
      <c r="AO46" s="449"/>
      <c r="AP46" s="449"/>
      <c r="AQ46" s="449"/>
      <c r="AR46" s="449"/>
      <c r="AS46" s="449"/>
      <c r="AT46" s="449"/>
      <c r="AU46" s="449"/>
      <c r="AV46" s="449"/>
      <c r="AW46" s="449"/>
      <c r="AX46" s="449"/>
      <c r="AY46" s="449"/>
      <c r="AZ46" s="449"/>
      <c r="BA46" s="449"/>
      <c r="BB46" s="449"/>
      <c r="BC46" s="449"/>
      <c r="BD46" s="449"/>
      <c r="BE46" s="449"/>
      <c r="BF46" s="449"/>
      <c r="BG46" s="449"/>
      <c r="BH46" s="449"/>
      <c r="BI46" s="449"/>
      <c r="BJ46" s="449"/>
      <c r="BK46" s="449"/>
      <c r="BL46" s="449"/>
      <c r="BM46" s="449"/>
      <c r="BN46" s="449"/>
      <c r="BO46" s="449"/>
      <c r="BP46" s="449"/>
      <c r="BQ46" s="449"/>
      <c r="BR46" s="449"/>
      <c r="BS46" s="449"/>
      <c r="BT46" s="449"/>
      <c r="BU46" s="449"/>
      <c r="BV46" s="449"/>
      <c r="BW46" s="449"/>
      <c r="BX46" s="449"/>
      <c r="BY46" s="449"/>
      <c r="BZ46" s="449"/>
      <c r="CA46" s="449"/>
      <c r="CB46" s="449"/>
      <c r="CC46" s="449"/>
      <c r="CD46" s="449"/>
      <c r="CE46" s="449"/>
      <c r="CF46" s="449"/>
      <c r="CG46" s="449"/>
      <c r="CH46" s="449"/>
      <c r="CI46" s="449"/>
      <c r="CJ46" s="449"/>
      <c r="CK46" s="449"/>
      <c r="CL46" s="449"/>
      <c r="CM46" s="449"/>
      <c r="CN46" s="449"/>
      <c r="CO46" s="449"/>
      <c r="CP46" s="449"/>
    </row>
    <row r="47" ht="16" customHeight="1">
      <c r="A47" s="449"/>
      <c r="B47" s="449"/>
      <c r="C47" s="449"/>
      <c r="D47" s="449"/>
      <c r="E47" s="449"/>
      <c r="F47" s="449"/>
      <c r="G47" s="449"/>
      <c r="H47" s="449"/>
      <c r="I47" s="449"/>
      <c r="J47" s="449"/>
      <c r="K47" s="449"/>
      <c r="L47" s="449"/>
      <c r="M47" s="449"/>
      <c r="N47" s="449"/>
      <c r="O47" s="449"/>
      <c r="P47" s="449"/>
      <c r="Q47" s="449"/>
      <c r="R47" s="449"/>
      <c r="S47" s="449"/>
      <c r="T47" s="449"/>
      <c r="U47" s="449"/>
      <c r="V47" s="449"/>
      <c r="W47" s="449"/>
      <c r="X47" s="449"/>
      <c r="Y47" s="449"/>
      <c r="Z47" s="449"/>
      <c r="AA47" s="449"/>
      <c r="AB47" s="449"/>
      <c r="AC47" s="449"/>
      <c r="AD47" s="449"/>
      <c r="AE47" s="449"/>
      <c r="AF47" s="449"/>
      <c r="AG47" s="449"/>
      <c r="AH47" s="449"/>
      <c r="AI47" s="449"/>
      <c r="AJ47" s="449"/>
      <c r="AK47" s="449"/>
      <c r="AL47" s="449"/>
      <c r="AM47" s="449"/>
      <c r="AN47" s="449"/>
      <c r="AO47" s="449"/>
      <c r="AP47" s="449"/>
      <c r="AQ47" s="449"/>
      <c r="AR47" s="449"/>
      <c r="AS47" s="449"/>
      <c r="AT47" s="449"/>
      <c r="AU47" s="449"/>
      <c r="AV47" s="449"/>
      <c r="AW47" s="449"/>
      <c r="AX47" s="449"/>
      <c r="AY47" s="449"/>
      <c r="AZ47" s="449"/>
      <c r="BA47" s="449"/>
      <c r="BB47" s="449"/>
      <c r="BC47" s="449"/>
      <c r="BD47" s="449"/>
      <c r="BE47" s="449"/>
      <c r="BF47" s="449"/>
      <c r="BG47" s="449"/>
      <c r="BH47" s="449"/>
      <c r="BI47" s="449"/>
      <c r="BJ47" s="449"/>
      <c r="BK47" s="449"/>
      <c r="BL47" s="449"/>
      <c r="BM47" s="449"/>
      <c r="BN47" s="449"/>
      <c r="BO47" s="449"/>
      <c r="BP47" s="449"/>
      <c r="BQ47" s="449"/>
      <c r="BR47" s="449"/>
      <c r="BS47" s="449"/>
      <c r="BT47" s="449"/>
      <c r="BU47" s="449"/>
      <c r="BV47" s="449"/>
      <c r="BW47" s="449"/>
      <c r="BX47" s="449"/>
      <c r="BY47" s="449"/>
      <c r="BZ47" s="449"/>
      <c r="CA47" s="449"/>
      <c r="CB47" s="449"/>
      <c r="CC47" s="449"/>
      <c r="CD47" s="449"/>
      <c r="CE47" s="449"/>
      <c r="CF47" s="449"/>
      <c r="CG47" s="449"/>
      <c r="CH47" s="449"/>
      <c r="CI47" s="449"/>
      <c r="CJ47" s="449"/>
      <c r="CK47" s="449"/>
      <c r="CL47" s="449"/>
      <c r="CM47" s="449"/>
      <c r="CN47" s="449"/>
      <c r="CO47" s="449"/>
      <c r="CP47" s="449"/>
    </row>
    <row r="48" ht="16" customHeight="1">
      <c r="A48" s="449"/>
      <c r="B48" s="449"/>
      <c r="C48" s="449"/>
      <c r="D48" s="449"/>
      <c r="E48" s="449"/>
      <c r="F48" s="449"/>
      <c r="G48" s="449"/>
      <c r="H48" s="449"/>
      <c r="I48" s="449"/>
      <c r="J48" s="449"/>
      <c r="K48" s="449"/>
      <c r="L48" s="449"/>
      <c r="M48" s="449"/>
      <c r="N48" s="449"/>
      <c r="O48" s="449"/>
      <c r="P48" s="449"/>
      <c r="Q48" s="449"/>
      <c r="R48" s="449"/>
      <c r="S48" s="449"/>
      <c r="T48" s="449"/>
      <c r="U48" s="449"/>
      <c r="V48" s="449"/>
      <c r="W48" s="449"/>
      <c r="X48" s="449"/>
      <c r="Y48" s="449"/>
      <c r="Z48" s="449"/>
      <c r="AA48" s="449"/>
      <c r="AB48" s="449"/>
      <c r="AC48" s="449"/>
      <c r="AD48" s="449"/>
      <c r="AE48" s="449"/>
      <c r="AF48" s="449"/>
      <c r="AG48" s="449"/>
      <c r="AH48" s="449"/>
      <c r="AI48" s="449"/>
      <c r="AJ48" s="449"/>
      <c r="AK48" s="449"/>
      <c r="AL48" s="449"/>
      <c r="AM48" s="449"/>
      <c r="AN48" s="449"/>
      <c r="AO48" s="449"/>
      <c r="AP48" s="449"/>
      <c r="AQ48" s="449"/>
      <c r="AR48" s="449"/>
      <c r="AS48" s="449"/>
      <c r="AT48" s="449"/>
      <c r="AU48" s="449"/>
      <c r="AV48" s="449"/>
      <c r="AW48" s="449"/>
      <c r="AX48" s="449"/>
      <c r="AY48" s="449"/>
      <c r="AZ48" s="449"/>
      <c r="BA48" s="449"/>
      <c r="BB48" s="449"/>
      <c r="BC48" s="449"/>
      <c r="BD48" s="449"/>
      <c r="BE48" s="449"/>
      <c r="BF48" s="449"/>
      <c r="BG48" s="449"/>
      <c r="BH48" s="449"/>
      <c r="BI48" s="449"/>
      <c r="BJ48" s="449"/>
      <c r="BK48" s="449"/>
      <c r="BL48" s="449"/>
      <c r="BM48" s="449"/>
      <c r="BN48" s="449"/>
      <c r="BO48" s="449"/>
      <c r="BP48" s="449"/>
      <c r="BQ48" s="449"/>
      <c r="BR48" s="449"/>
      <c r="BS48" s="449"/>
      <c r="BT48" s="449"/>
      <c r="BU48" s="449"/>
      <c r="BV48" s="449"/>
      <c r="BW48" s="449"/>
      <c r="BX48" s="449"/>
      <c r="BY48" s="449"/>
      <c r="BZ48" s="449"/>
      <c r="CA48" s="449"/>
      <c r="CB48" s="449"/>
      <c r="CC48" s="449"/>
      <c r="CD48" s="449"/>
      <c r="CE48" s="449"/>
      <c r="CF48" s="449"/>
      <c r="CG48" s="449"/>
      <c r="CH48" s="449"/>
      <c r="CI48" s="449"/>
      <c r="CJ48" s="449"/>
      <c r="CK48" s="449"/>
      <c r="CL48" s="449"/>
      <c r="CM48" s="449"/>
      <c r="CN48" s="449"/>
      <c r="CO48" s="449"/>
      <c r="CP48" s="449"/>
    </row>
    <row r="49" ht="16" customHeight="1">
      <c r="A49" s="449"/>
      <c r="B49" s="449"/>
      <c r="C49" s="449"/>
      <c r="D49" s="449"/>
      <c r="E49" s="449"/>
      <c r="F49" s="449"/>
      <c r="G49" s="449"/>
      <c r="H49" s="449"/>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c r="AI49" s="449"/>
      <c r="AJ49" s="449"/>
      <c r="AK49" s="449"/>
      <c r="AL49" s="449"/>
      <c r="AM49" s="449"/>
      <c r="AN49" s="449"/>
      <c r="AO49" s="449"/>
      <c r="AP49" s="449"/>
      <c r="AQ49" s="449"/>
      <c r="AR49" s="449"/>
      <c r="AS49" s="449"/>
      <c r="AT49" s="449"/>
      <c r="AU49" s="449"/>
      <c r="AV49" s="449"/>
      <c r="AW49" s="449"/>
      <c r="AX49" s="449"/>
      <c r="AY49" s="449"/>
      <c r="AZ49" s="449"/>
      <c r="BA49" s="449"/>
      <c r="BB49" s="449"/>
      <c r="BC49" s="449"/>
      <c r="BD49" s="449"/>
      <c r="BE49" s="449"/>
      <c r="BF49" s="449"/>
      <c r="BG49" s="449"/>
      <c r="BH49" s="449"/>
      <c r="BI49" s="449"/>
      <c r="BJ49" s="449"/>
      <c r="BK49" s="449"/>
      <c r="BL49" s="449"/>
      <c r="BM49" s="449"/>
      <c r="BN49" s="449"/>
      <c r="BO49" s="449"/>
      <c r="BP49" s="449"/>
      <c r="BQ49" s="449"/>
      <c r="BR49" s="449"/>
      <c r="BS49" s="449"/>
      <c r="BT49" s="449"/>
      <c r="BU49" s="449"/>
      <c r="BV49" s="449"/>
      <c r="BW49" s="449"/>
      <c r="BX49" s="449"/>
      <c r="BY49" s="449"/>
      <c r="BZ49" s="449"/>
      <c r="CA49" s="449"/>
      <c r="CB49" s="449"/>
      <c r="CC49" s="449"/>
      <c r="CD49" s="449"/>
      <c r="CE49" s="449"/>
      <c r="CF49" s="449"/>
      <c r="CG49" s="449"/>
      <c r="CH49" s="449"/>
      <c r="CI49" s="449"/>
      <c r="CJ49" s="449"/>
      <c r="CK49" s="449"/>
      <c r="CL49" s="449"/>
      <c r="CM49" s="449"/>
      <c r="CN49" s="449"/>
      <c r="CO49" s="449"/>
      <c r="CP49" s="449"/>
    </row>
    <row r="50" ht="16" customHeight="1">
      <c r="A50" s="449"/>
      <c r="B50" s="449"/>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c r="AC50" s="449"/>
      <c r="AD50" s="449"/>
      <c r="AE50" s="449"/>
      <c r="AF50" s="449"/>
      <c r="AG50" s="449"/>
      <c r="AH50" s="449"/>
      <c r="AI50" s="449"/>
      <c r="AJ50" s="449"/>
      <c r="AK50" s="449"/>
      <c r="AL50" s="449"/>
      <c r="AM50" s="449"/>
      <c r="AN50" s="449"/>
      <c r="AO50" s="449"/>
      <c r="AP50" s="449"/>
      <c r="AQ50" s="449"/>
      <c r="AR50" s="449"/>
      <c r="AS50" s="449"/>
      <c r="AT50" s="449"/>
      <c r="AU50" s="449"/>
      <c r="AV50" s="449"/>
      <c r="AW50" s="449"/>
      <c r="AX50" s="449"/>
      <c r="AY50" s="449"/>
      <c r="AZ50" s="449"/>
      <c r="BA50" s="449"/>
      <c r="BB50" s="449"/>
      <c r="BC50" s="449"/>
      <c r="BD50" s="449"/>
      <c r="BE50" s="449"/>
      <c r="BF50" s="449"/>
      <c r="BG50" s="449"/>
      <c r="BH50" s="449"/>
      <c r="BI50" s="449"/>
      <c r="BJ50" s="449"/>
      <c r="BK50" s="449"/>
      <c r="BL50" s="449"/>
      <c r="BM50" s="449"/>
      <c r="BN50" s="449"/>
      <c r="BO50" s="449"/>
      <c r="BP50" s="449"/>
      <c r="BQ50" s="449"/>
      <c r="BR50" s="449"/>
      <c r="BS50" s="449"/>
      <c r="BT50" s="449"/>
      <c r="BU50" s="449"/>
      <c r="BV50" s="449"/>
      <c r="BW50" s="449"/>
      <c r="BX50" s="449"/>
      <c r="BY50" s="449"/>
      <c r="BZ50" s="449"/>
      <c r="CA50" s="449"/>
      <c r="CB50" s="449"/>
      <c r="CC50" s="449"/>
      <c r="CD50" s="449"/>
      <c r="CE50" s="449"/>
      <c r="CF50" s="449"/>
      <c r="CG50" s="449"/>
      <c r="CH50" s="449"/>
      <c r="CI50" s="449"/>
      <c r="CJ50" s="449"/>
      <c r="CK50" s="449"/>
      <c r="CL50" s="449"/>
      <c r="CM50" s="449"/>
      <c r="CN50" s="449"/>
      <c r="CO50" s="449"/>
      <c r="CP50" s="449"/>
    </row>
    <row r="51" ht="16" customHeight="1">
      <c r="A51" s="449"/>
      <c r="B51" s="449"/>
      <c r="C51" s="449"/>
      <c r="D51" s="449"/>
      <c r="E51" s="449"/>
      <c r="F51" s="449"/>
      <c r="G51" s="449"/>
      <c r="H51" s="449"/>
      <c r="I51" s="449"/>
      <c r="J51" s="449"/>
      <c r="K51" s="449"/>
      <c r="L51" s="449"/>
      <c r="M51" s="449"/>
      <c r="N51" s="449"/>
      <c r="O51" s="449"/>
      <c r="P51" s="449"/>
      <c r="Q51" s="449"/>
      <c r="R51" s="449"/>
      <c r="S51" s="449"/>
      <c r="T51" s="449"/>
      <c r="U51" s="449"/>
      <c r="V51" s="449"/>
      <c r="W51" s="449"/>
      <c r="X51" s="449"/>
      <c r="Y51" s="449"/>
      <c r="Z51" s="449"/>
      <c r="AA51" s="449"/>
      <c r="AB51" s="449"/>
      <c r="AC51" s="449"/>
      <c r="AD51" s="449"/>
      <c r="AE51" s="449"/>
      <c r="AF51" s="449"/>
      <c r="AG51" s="449"/>
      <c r="AH51" s="449"/>
      <c r="AI51" s="449"/>
      <c r="AJ51" s="449"/>
      <c r="AK51" s="449"/>
      <c r="AL51" s="449"/>
      <c r="AM51" s="449"/>
      <c r="AN51" s="449"/>
      <c r="AO51" s="449"/>
      <c r="AP51" s="449"/>
      <c r="AQ51" s="449"/>
      <c r="AR51" s="449"/>
      <c r="AS51" s="449"/>
      <c r="AT51" s="449"/>
      <c r="AU51" s="449"/>
      <c r="AV51" s="449"/>
      <c r="AW51" s="449"/>
      <c r="AX51" s="449"/>
      <c r="AY51" s="449"/>
      <c r="AZ51" s="449"/>
      <c r="BA51" s="449"/>
      <c r="BB51" s="449"/>
      <c r="BC51" s="449"/>
      <c r="BD51" s="449"/>
      <c r="BE51" s="449"/>
      <c r="BF51" s="449"/>
      <c r="BG51" s="449"/>
      <c r="BH51" s="449"/>
      <c r="BI51" s="449"/>
      <c r="BJ51" s="449"/>
      <c r="BK51" s="449"/>
      <c r="BL51" s="449"/>
      <c r="BM51" s="449"/>
      <c r="BN51" s="449"/>
      <c r="BO51" s="449"/>
      <c r="BP51" s="449"/>
      <c r="BQ51" s="449"/>
      <c r="BR51" s="449"/>
      <c r="BS51" s="449"/>
      <c r="BT51" s="449"/>
      <c r="BU51" s="449"/>
      <c r="BV51" s="449"/>
      <c r="BW51" s="449"/>
      <c r="BX51" s="449"/>
      <c r="BY51" s="449"/>
      <c r="BZ51" s="449"/>
      <c r="CA51" s="449"/>
      <c r="CB51" s="449"/>
      <c r="CC51" s="449"/>
      <c r="CD51" s="449"/>
      <c r="CE51" s="449"/>
      <c r="CF51" s="449"/>
      <c r="CG51" s="449"/>
      <c r="CH51" s="449"/>
      <c r="CI51" s="449"/>
      <c r="CJ51" s="449"/>
      <c r="CK51" s="449"/>
      <c r="CL51" s="449"/>
      <c r="CM51" s="449"/>
      <c r="CN51" s="449"/>
      <c r="CO51" s="449"/>
      <c r="CP51" s="449"/>
    </row>
    <row r="52" ht="16" customHeight="1">
      <c r="A52" s="449"/>
      <c r="B52" s="449"/>
      <c r="C52" s="449"/>
      <c r="D52" s="449"/>
      <c r="E52" s="449"/>
      <c r="F52" s="449"/>
      <c r="G52" s="449"/>
      <c r="H52" s="449"/>
      <c r="I52" s="449"/>
      <c r="J52" s="449"/>
      <c r="K52" s="449"/>
      <c r="L52" s="449"/>
      <c r="M52" s="449"/>
      <c r="N52" s="449"/>
      <c r="O52" s="449"/>
      <c r="P52" s="449"/>
      <c r="Q52" s="449"/>
      <c r="R52" s="449"/>
      <c r="S52" s="449"/>
      <c r="T52" s="449"/>
      <c r="U52" s="449"/>
      <c r="V52" s="449"/>
      <c r="W52" s="449"/>
      <c r="X52" s="449"/>
      <c r="Y52" s="449"/>
      <c r="Z52" s="449"/>
      <c r="AA52" s="449"/>
      <c r="AB52" s="449"/>
      <c r="AC52" s="449"/>
      <c r="AD52" s="449"/>
      <c r="AE52" s="449"/>
      <c r="AF52" s="449"/>
      <c r="AG52" s="449"/>
      <c r="AH52" s="449"/>
      <c r="AI52" s="449"/>
      <c r="AJ52" s="449"/>
      <c r="AK52" s="449"/>
      <c r="AL52" s="449"/>
      <c r="AM52" s="449"/>
      <c r="AN52" s="449"/>
      <c r="AO52" s="449"/>
      <c r="AP52" s="449"/>
      <c r="AQ52" s="449"/>
      <c r="AR52" s="449"/>
      <c r="AS52" s="449"/>
      <c r="AT52" s="449"/>
      <c r="AU52" s="449"/>
      <c r="AV52" s="449"/>
      <c r="AW52" s="449"/>
      <c r="AX52" s="449"/>
      <c r="AY52" s="449"/>
      <c r="AZ52" s="449"/>
      <c r="BA52" s="449"/>
      <c r="BB52" s="449"/>
      <c r="BC52" s="449"/>
      <c r="BD52" s="449"/>
      <c r="BE52" s="449"/>
      <c r="BF52" s="449"/>
      <c r="BG52" s="449"/>
      <c r="BH52" s="449"/>
      <c r="BI52" s="449"/>
      <c r="BJ52" s="449"/>
      <c r="BK52" s="449"/>
      <c r="BL52" s="449"/>
      <c r="BM52" s="449"/>
      <c r="BN52" s="449"/>
      <c r="BO52" s="449"/>
      <c r="BP52" s="449"/>
      <c r="BQ52" s="449"/>
      <c r="BR52" s="449"/>
      <c r="BS52" s="449"/>
      <c r="BT52" s="449"/>
      <c r="BU52" s="449"/>
      <c r="BV52" s="449"/>
      <c r="BW52" s="449"/>
      <c r="BX52" s="449"/>
      <c r="BY52" s="449"/>
      <c r="BZ52" s="449"/>
      <c r="CA52" s="449"/>
      <c r="CB52" s="449"/>
      <c r="CC52" s="449"/>
      <c r="CD52" s="449"/>
      <c r="CE52" s="449"/>
      <c r="CF52" s="449"/>
      <c r="CG52" s="449"/>
      <c r="CH52" s="449"/>
      <c r="CI52" s="449"/>
      <c r="CJ52" s="449"/>
      <c r="CK52" s="449"/>
      <c r="CL52" s="449"/>
      <c r="CM52" s="449"/>
      <c r="CN52" s="449"/>
      <c r="CO52" s="449"/>
      <c r="CP52" s="449"/>
    </row>
    <row r="53" ht="16" customHeight="1">
      <c r="A53" s="449"/>
      <c r="B53" s="449"/>
      <c r="C53" s="449"/>
      <c r="D53" s="449"/>
      <c r="E53" s="449"/>
      <c r="F53" s="449"/>
      <c r="G53" s="449"/>
      <c r="H53" s="449"/>
      <c r="I53" s="449"/>
      <c r="J53" s="449"/>
      <c r="K53" s="449"/>
      <c r="L53" s="449"/>
      <c r="M53" s="449"/>
      <c r="N53" s="449"/>
      <c r="O53" s="449"/>
      <c r="P53" s="449"/>
      <c r="Q53" s="449"/>
      <c r="R53" s="449"/>
      <c r="S53" s="449"/>
      <c r="T53" s="449"/>
      <c r="U53" s="449"/>
      <c r="V53" s="449"/>
      <c r="W53" s="449"/>
      <c r="X53" s="449"/>
      <c r="Y53" s="449"/>
      <c r="Z53" s="449"/>
      <c r="AA53" s="449"/>
      <c r="AB53" s="449"/>
      <c r="AC53" s="449"/>
      <c r="AD53" s="449"/>
      <c r="AE53" s="449"/>
      <c r="AF53" s="449"/>
      <c r="AG53" s="449"/>
      <c r="AH53" s="449"/>
      <c r="AI53" s="449"/>
      <c r="AJ53" s="449"/>
      <c r="AK53" s="449"/>
      <c r="AL53" s="449"/>
      <c r="AM53" s="449"/>
      <c r="AN53" s="449"/>
      <c r="AO53" s="449"/>
      <c r="AP53" s="449"/>
      <c r="AQ53" s="449"/>
      <c r="AR53" s="449"/>
      <c r="AS53" s="449"/>
      <c r="AT53" s="449"/>
      <c r="AU53" s="449"/>
      <c r="AV53" s="449"/>
      <c r="AW53" s="449"/>
      <c r="AX53" s="449"/>
      <c r="AY53" s="449"/>
      <c r="AZ53" s="449"/>
      <c r="BA53" s="449"/>
      <c r="BB53" s="449"/>
      <c r="BC53" s="449"/>
      <c r="BD53" s="449"/>
      <c r="BE53" s="449"/>
      <c r="BF53" s="449"/>
      <c r="BG53" s="449"/>
      <c r="BH53" s="449"/>
      <c r="BI53" s="449"/>
      <c r="BJ53" s="449"/>
      <c r="BK53" s="449"/>
      <c r="BL53" s="449"/>
      <c r="BM53" s="449"/>
      <c r="BN53" s="449"/>
      <c r="BO53" s="449"/>
      <c r="BP53" s="449"/>
      <c r="BQ53" s="449"/>
      <c r="BR53" s="449"/>
      <c r="BS53" s="449"/>
      <c r="BT53" s="449"/>
      <c r="BU53" s="449"/>
      <c r="BV53" s="449"/>
      <c r="BW53" s="449"/>
      <c r="BX53" s="449"/>
      <c r="BY53" s="449"/>
      <c r="BZ53" s="449"/>
      <c r="CA53" s="449"/>
      <c r="CB53" s="449"/>
      <c r="CC53" s="449"/>
      <c r="CD53" s="449"/>
      <c r="CE53" s="449"/>
      <c r="CF53" s="449"/>
      <c r="CG53" s="449"/>
      <c r="CH53" s="449"/>
      <c r="CI53" s="449"/>
      <c r="CJ53" s="449"/>
      <c r="CK53" s="449"/>
      <c r="CL53" s="449"/>
      <c r="CM53" s="449"/>
      <c r="CN53" s="449"/>
      <c r="CO53" s="449"/>
      <c r="CP53" s="449"/>
    </row>
    <row r="54" ht="16" customHeight="1">
      <c r="A54" s="449"/>
      <c r="B54" s="449"/>
      <c r="C54" s="449"/>
      <c r="D54" s="449"/>
      <c r="E54" s="449"/>
      <c r="F54" s="449"/>
      <c r="G54" s="449"/>
      <c r="H54" s="449"/>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c r="AF54" s="449"/>
      <c r="AG54" s="449"/>
      <c r="AH54" s="449"/>
      <c r="AI54" s="449"/>
      <c r="AJ54" s="449"/>
      <c r="AK54" s="449"/>
      <c r="AL54" s="449"/>
      <c r="AM54" s="449"/>
      <c r="AN54" s="449"/>
      <c r="AO54" s="449"/>
      <c r="AP54" s="449"/>
      <c r="AQ54" s="449"/>
      <c r="AR54" s="449"/>
      <c r="AS54" s="449"/>
      <c r="AT54" s="449"/>
      <c r="AU54" s="449"/>
      <c r="AV54" s="449"/>
      <c r="AW54" s="449"/>
      <c r="AX54" s="449"/>
      <c r="AY54" s="449"/>
      <c r="AZ54" s="449"/>
      <c r="BA54" s="449"/>
      <c r="BB54" s="449"/>
      <c r="BC54" s="449"/>
      <c r="BD54" s="449"/>
      <c r="BE54" s="449"/>
      <c r="BF54" s="449"/>
      <c r="BG54" s="449"/>
      <c r="BH54" s="449"/>
      <c r="BI54" s="449"/>
      <c r="BJ54" s="449"/>
      <c r="BK54" s="449"/>
      <c r="BL54" s="449"/>
      <c r="BM54" s="449"/>
      <c r="BN54" s="449"/>
      <c r="BO54" s="449"/>
      <c r="BP54" s="449"/>
      <c r="BQ54" s="449"/>
      <c r="BR54" s="449"/>
      <c r="BS54" s="449"/>
      <c r="BT54" s="449"/>
      <c r="BU54" s="449"/>
      <c r="BV54" s="449"/>
      <c r="BW54" s="449"/>
      <c r="BX54" s="449"/>
      <c r="BY54" s="449"/>
      <c r="BZ54" s="449"/>
      <c r="CA54" s="449"/>
      <c r="CB54" s="449"/>
      <c r="CC54" s="449"/>
      <c r="CD54" s="449"/>
      <c r="CE54" s="449"/>
      <c r="CF54" s="449"/>
      <c r="CG54" s="449"/>
      <c r="CH54" s="449"/>
      <c r="CI54" s="449"/>
      <c r="CJ54" s="449"/>
      <c r="CK54" s="449"/>
      <c r="CL54" s="449"/>
      <c r="CM54" s="449"/>
      <c r="CN54" s="449"/>
      <c r="CO54" s="449"/>
      <c r="CP54" s="449"/>
    </row>
    <row r="55" ht="16" customHeight="1">
      <c r="A55" s="449"/>
      <c r="B55" s="449"/>
      <c r="C55" s="449"/>
      <c r="D55" s="449"/>
      <c r="E55" s="449"/>
      <c r="F55" s="449"/>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449"/>
      <c r="AI55" s="449"/>
      <c r="AJ55" s="449"/>
      <c r="AK55" s="449"/>
      <c r="AL55" s="449"/>
      <c r="AM55" s="449"/>
      <c r="AN55" s="449"/>
      <c r="AO55" s="449"/>
      <c r="AP55" s="449"/>
      <c r="AQ55" s="449"/>
      <c r="AR55" s="449"/>
      <c r="AS55" s="449"/>
      <c r="AT55" s="449"/>
      <c r="AU55" s="449"/>
      <c r="AV55" s="449"/>
      <c r="AW55" s="449"/>
      <c r="AX55" s="449"/>
      <c r="AY55" s="449"/>
      <c r="AZ55" s="449"/>
      <c r="BA55" s="449"/>
      <c r="BB55" s="449"/>
      <c r="BC55" s="449"/>
      <c r="BD55" s="449"/>
      <c r="BE55" s="449"/>
      <c r="BF55" s="449"/>
      <c r="BG55" s="449"/>
      <c r="BH55" s="449"/>
      <c r="BI55" s="449"/>
      <c r="BJ55" s="449"/>
      <c r="BK55" s="449"/>
      <c r="BL55" s="449"/>
      <c r="BM55" s="449"/>
      <c r="BN55" s="449"/>
      <c r="BO55" s="449"/>
      <c r="BP55" s="449"/>
      <c r="BQ55" s="449"/>
      <c r="BR55" s="449"/>
      <c r="BS55" s="449"/>
      <c r="BT55" s="449"/>
      <c r="BU55" s="449"/>
      <c r="BV55" s="449"/>
      <c r="BW55" s="449"/>
      <c r="BX55" s="449"/>
      <c r="BY55" s="449"/>
      <c r="BZ55" s="449"/>
      <c r="CA55" s="449"/>
      <c r="CB55" s="449"/>
      <c r="CC55" s="449"/>
      <c r="CD55" s="449"/>
      <c r="CE55" s="449"/>
      <c r="CF55" s="449"/>
      <c r="CG55" s="449"/>
      <c r="CH55" s="449"/>
      <c r="CI55" s="449"/>
      <c r="CJ55" s="449"/>
      <c r="CK55" s="449"/>
      <c r="CL55" s="449"/>
      <c r="CM55" s="449"/>
      <c r="CN55" s="449"/>
      <c r="CO55" s="449"/>
      <c r="CP55" s="449"/>
    </row>
    <row r="56" ht="16" customHeight="1">
      <c r="A56" s="449"/>
      <c r="B56" s="449"/>
      <c r="C56" s="449"/>
      <c r="D56" s="449"/>
      <c r="E56" s="449"/>
      <c r="F56" s="449"/>
      <c r="G56" s="449"/>
      <c r="H56" s="449"/>
      <c r="I56" s="449"/>
      <c r="J56" s="449"/>
      <c r="K56" s="449"/>
      <c r="L56" s="449"/>
      <c r="M56" s="449"/>
      <c r="N56" s="449"/>
      <c r="O56" s="449"/>
      <c r="P56" s="449"/>
      <c r="Q56" s="449"/>
      <c r="R56" s="449"/>
      <c r="S56" s="449"/>
      <c r="T56" s="449"/>
      <c r="U56" s="449"/>
      <c r="V56" s="449"/>
      <c r="W56" s="449"/>
      <c r="X56" s="449"/>
      <c r="Y56" s="449"/>
      <c r="Z56" s="449"/>
      <c r="AA56" s="449"/>
      <c r="AB56" s="449"/>
      <c r="AC56" s="449"/>
      <c r="AD56" s="449"/>
      <c r="AE56" s="449"/>
      <c r="AF56" s="449"/>
      <c r="AG56" s="449"/>
      <c r="AH56" s="449"/>
      <c r="AI56" s="449"/>
      <c r="AJ56" s="449"/>
      <c r="AK56" s="449"/>
      <c r="AL56" s="449"/>
      <c r="AM56" s="449"/>
      <c r="AN56" s="449"/>
      <c r="AO56" s="449"/>
      <c r="AP56" s="449"/>
      <c r="AQ56" s="449"/>
      <c r="AR56" s="449"/>
      <c r="AS56" s="449"/>
      <c r="AT56" s="449"/>
      <c r="AU56" s="449"/>
      <c r="AV56" s="449"/>
      <c r="AW56" s="449"/>
      <c r="AX56" s="449"/>
      <c r="AY56" s="449"/>
      <c r="AZ56" s="449"/>
      <c r="BA56" s="449"/>
      <c r="BB56" s="449"/>
      <c r="BC56" s="449"/>
      <c r="BD56" s="449"/>
      <c r="BE56" s="449"/>
      <c r="BF56" s="449"/>
      <c r="BG56" s="449"/>
      <c r="BH56" s="449"/>
      <c r="BI56" s="449"/>
      <c r="BJ56" s="449"/>
      <c r="BK56" s="449"/>
      <c r="BL56" s="449"/>
      <c r="BM56" s="449"/>
      <c r="BN56" s="449"/>
      <c r="BO56" s="449"/>
      <c r="BP56" s="449"/>
      <c r="BQ56" s="449"/>
      <c r="BR56" s="449"/>
      <c r="BS56" s="449"/>
      <c r="BT56" s="449"/>
      <c r="BU56" s="449"/>
      <c r="BV56" s="449"/>
      <c r="BW56" s="449"/>
      <c r="BX56" s="449"/>
      <c r="BY56" s="449"/>
      <c r="BZ56" s="449"/>
      <c r="CA56" s="449"/>
      <c r="CB56" s="449"/>
      <c r="CC56" s="449"/>
      <c r="CD56" s="449"/>
      <c r="CE56" s="449"/>
      <c r="CF56" s="449"/>
      <c r="CG56" s="449"/>
      <c r="CH56" s="449"/>
      <c r="CI56" s="449"/>
      <c r="CJ56" s="449"/>
      <c r="CK56" s="449"/>
      <c r="CL56" s="449"/>
      <c r="CM56" s="449"/>
      <c r="CN56" s="449"/>
      <c r="CO56" s="449"/>
      <c r="CP56" s="449"/>
    </row>
    <row r="57" ht="16" customHeight="1">
      <c r="A57" s="449"/>
      <c r="B57" s="449"/>
      <c r="C57" s="449"/>
      <c r="D57" s="449"/>
      <c r="E57" s="449"/>
      <c r="F57" s="449"/>
      <c r="G57" s="449"/>
      <c r="H57" s="449"/>
      <c r="I57" s="449"/>
      <c r="J57" s="449"/>
      <c r="K57" s="449"/>
      <c r="L57" s="449"/>
      <c r="M57" s="449"/>
      <c r="N57" s="449"/>
      <c r="O57" s="449"/>
      <c r="P57" s="449"/>
      <c r="Q57" s="449"/>
      <c r="R57" s="449"/>
      <c r="S57" s="449"/>
      <c r="T57" s="449"/>
      <c r="U57" s="449"/>
      <c r="V57" s="449"/>
      <c r="W57" s="449"/>
      <c r="X57" s="449"/>
      <c r="Y57" s="449"/>
      <c r="Z57" s="449"/>
      <c r="AA57" s="449"/>
      <c r="AB57" s="449"/>
      <c r="AC57" s="449"/>
      <c r="AD57" s="449"/>
      <c r="AE57" s="449"/>
      <c r="AF57" s="449"/>
      <c r="AG57" s="449"/>
      <c r="AH57" s="449"/>
      <c r="AI57" s="449"/>
      <c r="AJ57" s="449"/>
      <c r="AK57" s="449"/>
      <c r="AL57" s="449"/>
      <c r="AM57" s="449"/>
      <c r="AN57" s="449"/>
      <c r="AO57" s="449"/>
      <c r="AP57" s="449"/>
      <c r="AQ57" s="449"/>
      <c r="AR57" s="449"/>
      <c r="AS57" s="449"/>
      <c r="AT57" s="449"/>
      <c r="AU57" s="449"/>
      <c r="AV57" s="449"/>
      <c r="AW57" s="449"/>
      <c r="AX57" s="449"/>
      <c r="AY57" s="449"/>
      <c r="AZ57" s="449"/>
      <c r="BA57" s="449"/>
      <c r="BB57" s="449"/>
      <c r="BC57" s="449"/>
      <c r="BD57" s="449"/>
      <c r="BE57" s="449"/>
      <c r="BF57" s="449"/>
      <c r="BG57" s="449"/>
      <c r="BH57" s="449"/>
      <c r="BI57" s="449"/>
      <c r="BJ57" s="449"/>
      <c r="BK57" s="449"/>
      <c r="BL57" s="449"/>
      <c r="BM57" s="449"/>
      <c r="BN57" s="449"/>
      <c r="BO57" s="449"/>
      <c r="BP57" s="449"/>
      <c r="BQ57" s="449"/>
      <c r="BR57" s="449"/>
      <c r="BS57" s="449"/>
      <c r="BT57" s="449"/>
      <c r="BU57" s="449"/>
      <c r="BV57" s="449"/>
      <c r="BW57" s="449"/>
      <c r="BX57" s="449"/>
      <c r="BY57" s="449"/>
      <c r="BZ57" s="449"/>
      <c r="CA57" s="449"/>
      <c r="CB57" s="449"/>
      <c r="CC57" s="449"/>
      <c r="CD57" s="449"/>
      <c r="CE57" s="449"/>
      <c r="CF57" s="449"/>
      <c r="CG57" s="449"/>
      <c r="CH57" s="449"/>
      <c r="CI57" s="449"/>
      <c r="CJ57" s="449"/>
      <c r="CK57" s="449"/>
      <c r="CL57" s="449"/>
      <c r="CM57" s="449"/>
      <c r="CN57" s="449"/>
      <c r="CO57" s="449"/>
      <c r="CP57" s="449"/>
    </row>
    <row r="58" ht="16" customHeight="1">
      <c r="A58" s="449"/>
      <c r="B58" s="449"/>
      <c r="C58" s="449"/>
      <c r="D58" s="449"/>
      <c r="E58" s="449"/>
      <c r="F58" s="449"/>
      <c r="G58" s="449"/>
      <c r="H58" s="449"/>
      <c r="I58" s="449"/>
      <c r="J58" s="449"/>
      <c r="K58" s="449"/>
      <c r="L58" s="449"/>
      <c r="M58" s="449"/>
      <c r="N58" s="449"/>
      <c r="O58" s="449"/>
      <c r="P58" s="449"/>
      <c r="Q58" s="449"/>
      <c r="R58" s="449"/>
      <c r="S58" s="449"/>
      <c r="T58" s="449"/>
      <c r="U58" s="449"/>
      <c r="V58" s="449"/>
      <c r="W58" s="449"/>
      <c r="X58" s="449"/>
      <c r="Y58" s="449"/>
      <c r="Z58" s="449"/>
      <c r="AA58" s="449"/>
      <c r="AB58" s="449"/>
      <c r="AC58" s="449"/>
      <c r="AD58" s="449"/>
      <c r="AE58" s="449"/>
      <c r="AF58" s="449"/>
      <c r="AG58" s="449"/>
      <c r="AH58" s="449"/>
      <c r="AI58" s="449"/>
      <c r="AJ58" s="449"/>
      <c r="AK58" s="449"/>
      <c r="AL58" s="449"/>
      <c r="AM58" s="449"/>
      <c r="AN58" s="449"/>
      <c r="AO58" s="449"/>
      <c r="AP58" s="449"/>
      <c r="AQ58" s="449"/>
      <c r="AR58" s="449"/>
      <c r="AS58" s="449"/>
      <c r="AT58" s="449"/>
      <c r="AU58" s="449"/>
      <c r="AV58" s="449"/>
      <c r="AW58" s="449"/>
      <c r="AX58" s="449"/>
      <c r="AY58" s="449"/>
      <c r="AZ58" s="449"/>
      <c r="BA58" s="449"/>
      <c r="BB58" s="449"/>
      <c r="BC58" s="449"/>
      <c r="BD58" s="449"/>
      <c r="BE58" s="449"/>
      <c r="BF58" s="449"/>
      <c r="BG58" s="449"/>
      <c r="BH58" s="449"/>
      <c r="BI58" s="449"/>
      <c r="BJ58" s="449"/>
      <c r="BK58" s="449"/>
      <c r="BL58" s="449"/>
      <c r="BM58" s="449"/>
      <c r="BN58" s="449"/>
      <c r="BO58" s="449"/>
      <c r="BP58" s="449"/>
      <c r="BQ58" s="449"/>
      <c r="BR58" s="449"/>
      <c r="BS58" s="449"/>
      <c r="BT58" s="449"/>
      <c r="BU58" s="449"/>
      <c r="BV58" s="449"/>
      <c r="BW58" s="449"/>
      <c r="BX58" s="449"/>
      <c r="BY58" s="449"/>
      <c r="BZ58" s="449"/>
      <c r="CA58" s="449"/>
      <c r="CB58" s="449"/>
      <c r="CC58" s="449"/>
      <c r="CD58" s="449"/>
      <c r="CE58" s="449"/>
      <c r="CF58" s="449"/>
      <c r="CG58" s="449"/>
      <c r="CH58" s="449"/>
      <c r="CI58" s="449"/>
      <c r="CJ58" s="449"/>
      <c r="CK58" s="449"/>
      <c r="CL58" s="449"/>
      <c r="CM58" s="449"/>
      <c r="CN58" s="449"/>
      <c r="CO58" s="449"/>
      <c r="CP58" s="449"/>
    </row>
    <row r="59" ht="16" customHeight="1">
      <c r="A59" s="449"/>
      <c r="B59" s="449"/>
      <c r="C59" s="449"/>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49"/>
      <c r="AJ59" s="449"/>
      <c r="AK59" s="449"/>
      <c r="AL59" s="449"/>
      <c r="AM59" s="449"/>
      <c r="AN59" s="449"/>
      <c r="AO59" s="449"/>
      <c r="AP59" s="449"/>
      <c r="AQ59" s="449"/>
      <c r="AR59" s="449"/>
      <c r="AS59" s="449"/>
      <c r="AT59" s="449"/>
      <c r="AU59" s="449"/>
      <c r="AV59" s="449"/>
      <c r="AW59" s="449"/>
      <c r="AX59" s="449"/>
      <c r="AY59" s="449"/>
      <c r="AZ59" s="449"/>
      <c r="BA59" s="449"/>
      <c r="BB59" s="449"/>
      <c r="BC59" s="449"/>
      <c r="BD59" s="449"/>
      <c r="BE59" s="449"/>
      <c r="BF59" s="449"/>
      <c r="BG59" s="449"/>
      <c r="BH59" s="449"/>
      <c r="BI59" s="449"/>
      <c r="BJ59" s="449"/>
      <c r="BK59" s="449"/>
      <c r="BL59" s="449"/>
      <c r="BM59" s="449"/>
      <c r="BN59" s="449"/>
      <c r="BO59" s="449"/>
      <c r="BP59" s="449"/>
      <c r="BQ59" s="449"/>
      <c r="BR59" s="449"/>
      <c r="BS59" s="449"/>
      <c r="BT59" s="449"/>
      <c r="BU59" s="449"/>
      <c r="BV59" s="449"/>
      <c r="BW59" s="449"/>
      <c r="BX59" s="449"/>
      <c r="BY59" s="449"/>
      <c r="BZ59" s="449"/>
      <c r="CA59" s="449"/>
      <c r="CB59" s="449"/>
      <c r="CC59" s="449"/>
      <c r="CD59" s="449"/>
      <c r="CE59" s="449"/>
      <c r="CF59" s="449"/>
      <c r="CG59" s="449"/>
      <c r="CH59" s="449"/>
      <c r="CI59" s="449"/>
      <c r="CJ59" s="449"/>
      <c r="CK59" s="449"/>
      <c r="CL59" s="449"/>
      <c r="CM59" s="449"/>
      <c r="CN59" s="449"/>
      <c r="CO59" s="449"/>
      <c r="CP59" s="449"/>
    </row>
    <row r="60" ht="16" customHeight="1">
      <c r="A60" s="449"/>
      <c r="B60" s="449"/>
      <c r="C60" s="449"/>
      <c r="D60" s="449"/>
      <c r="E60" s="449"/>
      <c r="F60" s="449"/>
      <c r="G60" s="449"/>
      <c r="H60" s="449"/>
      <c r="I60" s="449"/>
      <c r="J60" s="449"/>
      <c r="K60" s="449"/>
      <c r="L60" s="449"/>
      <c r="M60" s="449"/>
      <c r="N60" s="449"/>
      <c r="O60" s="449"/>
      <c r="P60" s="449"/>
      <c r="Q60" s="449"/>
      <c r="R60" s="449"/>
      <c r="S60" s="449"/>
      <c r="T60" s="449"/>
      <c r="U60" s="449"/>
      <c r="V60" s="449"/>
      <c r="W60" s="449"/>
      <c r="X60" s="449"/>
      <c r="Y60" s="449"/>
      <c r="Z60" s="449"/>
      <c r="AA60" s="449"/>
      <c r="AB60" s="449"/>
      <c r="AC60" s="449"/>
      <c r="AD60" s="449"/>
      <c r="AE60" s="449"/>
      <c r="AF60" s="449"/>
      <c r="AG60" s="449"/>
      <c r="AH60" s="449"/>
      <c r="AI60" s="449"/>
      <c r="AJ60" s="449"/>
      <c r="AK60" s="449"/>
      <c r="AL60" s="449"/>
      <c r="AM60" s="449"/>
      <c r="AN60" s="449"/>
      <c r="AO60" s="449"/>
      <c r="AP60" s="449"/>
      <c r="AQ60" s="449"/>
      <c r="AR60" s="449"/>
      <c r="AS60" s="449"/>
      <c r="AT60" s="449"/>
      <c r="AU60" s="449"/>
      <c r="AV60" s="449"/>
      <c r="AW60" s="449"/>
      <c r="AX60" s="449"/>
      <c r="AY60" s="449"/>
      <c r="AZ60" s="449"/>
      <c r="BA60" s="449"/>
      <c r="BB60" s="449"/>
      <c r="BC60" s="449"/>
      <c r="BD60" s="449"/>
      <c r="BE60" s="449"/>
      <c r="BF60" s="449"/>
      <c r="BG60" s="449"/>
      <c r="BH60" s="449"/>
      <c r="BI60" s="449"/>
      <c r="BJ60" s="449"/>
      <c r="BK60" s="449"/>
      <c r="BL60" s="449"/>
      <c r="BM60" s="449"/>
      <c r="BN60" s="449"/>
      <c r="BO60" s="449"/>
      <c r="BP60" s="449"/>
      <c r="BQ60" s="449"/>
      <c r="BR60" s="449"/>
      <c r="BS60" s="449"/>
      <c r="BT60" s="449"/>
      <c r="BU60" s="449"/>
      <c r="BV60" s="449"/>
      <c r="BW60" s="449"/>
      <c r="BX60" s="449"/>
      <c r="BY60" s="449"/>
      <c r="BZ60" s="449"/>
      <c r="CA60" s="449"/>
      <c r="CB60" s="449"/>
      <c r="CC60" s="449"/>
      <c r="CD60" s="449"/>
      <c r="CE60" s="449"/>
      <c r="CF60" s="449"/>
      <c r="CG60" s="449"/>
      <c r="CH60" s="449"/>
      <c r="CI60" s="449"/>
      <c r="CJ60" s="449"/>
      <c r="CK60" s="449"/>
      <c r="CL60" s="449"/>
      <c r="CM60" s="449"/>
      <c r="CN60" s="449"/>
      <c r="CO60" s="449"/>
      <c r="CP60" s="449"/>
    </row>
    <row r="61" ht="16" customHeight="1">
      <c r="A61" s="449"/>
      <c r="B61" s="449"/>
      <c r="C61" s="449"/>
      <c r="D61" s="449"/>
      <c r="E61" s="449"/>
      <c r="F61" s="449"/>
      <c r="G61" s="449"/>
      <c r="H61" s="449"/>
      <c r="I61" s="449"/>
      <c r="J61" s="449"/>
      <c r="K61" s="449"/>
      <c r="L61" s="449"/>
      <c r="M61" s="449"/>
      <c r="N61" s="449"/>
      <c r="O61" s="449"/>
      <c r="P61" s="449"/>
      <c r="Q61" s="449"/>
      <c r="R61" s="449"/>
      <c r="S61" s="449"/>
      <c r="T61" s="449"/>
      <c r="U61" s="449"/>
      <c r="V61" s="449"/>
      <c r="W61" s="449"/>
      <c r="X61" s="449"/>
      <c r="Y61" s="449"/>
      <c r="Z61" s="449"/>
      <c r="AA61" s="449"/>
      <c r="AB61" s="449"/>
      <c r="AC61" s="449"/>
      <c r="AD61" s="449"/>
      <c r="AE61" s="449"/>
      <c r="AF61" s="449"/>
      <c r="AG61" s="449"/>
      <c r="AH61" s="449"/>
      <c r="AI61" s="449"/>
      <c r="AJ61" s="449"/>
      <c r="AK61" s="449"/>
      <c r="AL61" s="449"/>
      <c r="AM61" s="449"/>
      <c r="AN61" s="449"/>
      <c r="AO61" s="449"/>
      <c r="AP61" s="449"/>
      <c r="AQ61" s="449"/>
      <c r="AR61" s="449"/>
      <c r="AS61" s="449"/>
      <c r="AT61" s="449"/>
      <c r="AU61" s="449"/>
      <c r="AV61" s="449"/>
      <c r="AW61" s="449"/>
      <c r="AX61" s="449"/>
      <c r="AY61" s="449"/>
      <c r="AZ61" s="449"/>
      <c r="BA61" s="449"/>
      <c r="BB61" s="449"/>
      <c r="BC61" s="449"/>
      <c r="BD61" s="449"/>
      <c r="BE61" s="449"/>
      <c r="BF61" s="449"/>
      <c r="BG61" s="449"/>
      <c r="BH61" s="449"/>
      <c r="BI61" s="449"/>
      <c r="BJ61" s="449"/>
      <c r="BK61" s="449"/>
      <c r="BL61" s="449"/>
      <c r="BM61" s="449"/>
      <c r="BN61" s="449"/>
      <c r="BO61" s="449"/>
      <c r="BP61" s="449"/>
      <c r="BQ61" s="449"/>
      <c r="BR61" s="449"/>
      <c r="BS61" s="449"/>
      <c r="BT61" s="449"/>
      <c r="BU61" s="449"/>
      <c r="BV61" s="449"/>
      <c r="BW61" s="449"/>
      <c r="BX61" s="449"/>
      <c r="BY61" s="449"/>
      <c r="BZ61" s="449"/>
      <c r="CA61" s="449"/>
      <c r="CB61" s="449"/>
      <c r="CC61" s="449"/>
      <c r="CD61" s="449"/>
      <c r="CE61" s="449"/>
      <c r="CF61" s="449"/>
      <c r="CG61" s="449"/>
      <c r="CH61" s="449"/>
      <c r="CI61" s="449"/>
      <c r="CJ61" s="449"/>
      <c r="CK61" s="449"/>
      <c r="CL61" s="449"/>
      <c r="CM61" s="449"/>
      <c r="CN61" s="449"/>
      <c r="CO61" s="449"/>
      <c r="CP61" s="449"/>
    </row>
    <row r="62" ht="16" customHeight="1">
      <c r="A62" s="449"/>
      <c r="B62" s="449"/>
      <c r="C62" s="449"/>
      <c r="D62" s="449"/>
      <c r="E62" s="449"/>
      <c r="F62" s="449"/>
      <c r="G62" s="449"/>
      <c r="H62" s="449"/>
      <c r="I62" s="449"/>
      <c r="J62" s="449"/>
      <c r="K62" s="449"/>
      <c r="L62" s="449"/>
      <c r="M62" s="449"/>
      <c r="N62" s="449"/>
      <c r="O62" s="449"/>
      <c r="P62" s="449"/>
      <c r="Q62" s="449"/>
      <c r="R62" s="449"/>
      <c r="S62" s="449"/>
      <c r="T62" s="449"/>
      <c r="U62" s="449"/>
      <c r="V62" s="449"/>
      <c r="W62" s="449"/>
      <c r="X62" s="449"/>
      <c r="Y62" s="449"/>
      <c r="Z62" s="449"/>
      <c r="AA62" s="449"/>
      <c r="AB62" s="449"/>
      <c r="AC62" s="449"/>
      <c r="AD62" s="449"/>
      <c r="AE62" s="449"/>
      <c r="AF62" s="449"/>
      <c r="AG62" s="449"/>
      <c r="AH62" s="449"/>
      <c r="AI62" s="449"/>
      <c r="AJ62" s="449"/>
      <c r="AK62" s="449"/>
      <c r="AL62" s="449"/>
      <c r="AM62" s="449"/>
      <c r="AN62" s="449"/>
      <c r="AO62" s="449"/>
      <c r="AP62" s="449"/>
      <c r="AQ62" s="449"/>
      <c r="AR62" s="449"/>
      <c r="AS62" s="449"/>
      <c r="AT62" s="449"/>
      <c r="AU62" s="449"/>
      <c r="AV62" s="449"/>
      <c r="AW62" s="449"/>
      <c r="AX62" s="449"/>
      <c r="AY62" s="449"/>
      <c r="AZ62" s="449"/>
      <c r="BA62" s="449"/>
      <c r="BB62" s="449"/>
      <c r="BC62" s="449"/>
      <c r="BD62" s="449"/>
      <c r="BE62" s="449"/>
      <c r="BF62" s="449"/>
      <c r="BG62" s="449"/>
      <c r="BH62" s="449"/>
      <c r="BI62" s="449"/>
      <c r="BJ62" s="449"/>
      <c r="BK62" s="449"/>
      <c r="BL62" s="449"/>
      <c r="BM62" s="449"/>
      <c r="BN62" s="449"/>
      <c r="BO62" s="449"/>
      <c r="BP62" s="449"/>
      <c r="BQ62" s="449"/>
      <c r="BR62" s="449"/>
      <c r="BS62" s="449"/>
      <c r="BT62" s="449"/>
      <c r="BU62" s="449"/>
      <c r="BV62" s="449"/>
      <c r="BW62" s="449"/>
      <c r="BX62" s="449"/>
      <c r="BY62" s="449"/>
      <c r="BZ62" s="449"/>
      <c r="CA62" s="449"/>
      <c r="CB62" s="449"/>
      <c r="CC62" s="449"/>
      <c r="CD62" s="449"/>
      <c r="CE62" s="449"/>
      <c r="CF62" s="449"/>
      <c r="CG62" s="449"/>
      <c r="CH62" s="449"/>
      <c r="CI62" s="449"/>
      <c r="CJ62" s="449"/>
      <c r="CK62" s="449"/>
      <c r="CL62" s="449"/>
      <c r="CM62" s="449"/>
      <c r="CN62" s="449"/>
      <c r="CO62" s="449"/>
      <c r="CP62" s="449"/>
    </row>
    <row r="63" ht="16" customHeight="1">
      <c r="A63" s="449"/>
      <c r="B63" s="449"/>
      <c r="C63" s="449"/>
      <c r="D63" s="449"/>
      <c r="E63" s="449"/>
      <c r="F63" s="449"/>
      <c r="G63" s="449"/>
      <c r="H63" s="449"/>
      <c r="I63" s="449"/>
      <c r="J63" s="449"/>
      <c r="K63" s="449"/>
      <c r="L63" s="449"/>
      <c r="M63" s="449"/>
      <c r="N63" s="449"/>
      <c r="O63" s="449"/>
      <c r="P63" s="449"/>
      <c r="Q63" s="449"/>
      <c r="R63" s="449"/>
      <c r="S63" s="449"/>
      <c r="T63" s="449"/>
      <c r="U63" s="449"/>
      <c r="V63" s="449"/>
      <c r="W63" s="449"/>
      <c r="X63" s="449"/>
      <c r="Y63" s="449"/>
      <c r="Z63" s="449"/>
      <c r="AA63" s="449"/>
      <c r="AB63" s="449"/>
      <c r="AC63" s="449"/>
      <c r="AD63" s="449"/>
      <c r="AE63" s="449"/>
      <c r="AF63" s="449"/>
      <c r="AG63" s="449"/>
      <c r="AH63" s="449"/>
      <c r="AI63" s="449"/>
      <c r="AJ63" s="449"/>
      <c r="AK63" s="449"/>
      <c r="AL63" s="449"/>
      <c r="AM63" s="449"/>
      <c r="AN63" s="449"/>
      <c r="AO63" s="449"/>
      <c r="AP63" s="449"/>
      <c r="AQ63" s="449"/>
      <c r="AR63" s="449"/>
      <c r="AS63" s="449"/>
      <c r="AT63" s="449"/>
      <c r="AU63" s="449"/>
      <c r="AV63" s="449"/>
      <c r="AW63" s="449"/>
      <c r="AX63" s="449"/>
      <c r="AY63" s="449"/>
      <c r="AZ63" s="449"/>
      <c r="BA63" s="449"/>
      <c r="BB63" s="449"/>
      <c r="BC63" s="449"/>
      <c r="BD63" s="449"/>
      <c r="BE63" s="449"/>
      <c r="BF63" s="449"/>
      <c r="BG63" s="449"/>
      <c r="BH63" s="449"/>
      <c r="BI63" s="449"/>
      <c r="BJ63" s="449"/>
      <c r="BK63" s="449"/>
      <c r="BL63" s="449"/>
      <c r="BM63" s="449"/>
      <c r="BN63" s="449"/>
      <c r="BO63" s="449"/>
      <c r="BP63" s="449"/>
      <c r="BQ63" s="449"/>
      <c r="BR63" s="449"/>
      <c r="BS63" s="449"/>
      <c r="BT63" s="449"/>
      <c r="BU63" s="449"/>
      <c r="BV63" s="449"/>
      <c r="BW63" s="449"/>
      <c r="BX63" s="449"/>
      <c r="BY63" s="449"/>
      <c r="BZ63" s="449"/>
      <c r="CA63" s="449"/>
      <c r="CB63" s="449"/>
      <c r="CC63" s="449"/>
      <c r="CD63" s="449"/>
      <c r="CE63" s="449"/>
      <c r="CF63" s="449"/>
      <c r="CG63" s="449"/>
      <c r="CH63" s="449"/>
      <c r="CI63" s="449"/>
      <c r="CJ63" s="449"/>
      <c r="CK63" s="449"/>
      <c r="CL63" s="449"/>
      <c r="CM63" s="449"/>
      <c r="CN63" s="449"/>
      <c r="CO63" s="449"/>
      <c r="CP63" s="449"/>
    </row>
    <row r="64" ht="16" customHeight="1">
      <c r="A64" s="449"/>
      <c r="B64" s="449"/>
      <c r="C64" s="449"/>
      <c r="D64" s="449"/>
      <c r="E64" s="449"/>
      <c r="F64" s="449"/>
      <c r="G64" s="449"/>
      <c r="H64" s="449"/>
      <c r="I64" s="449"/>
      <c r="J64" s="449"/>
      <c r="K64" s="449"/>
      <c r="L64" s="449"/>
      <c r="M64" s="449"/>
      <c r="N64" s="449"/>
      <c r="O64" s="449"/>
      <c r="P64" s="449"/>
      <c r="Q64" s="449"/>
      <c r="R64" s="449"/>
      <c r="S64" s="449"/>
      <c r="T64" s="449"/>
      <c r="U64" s="449"/>
      <c r="V64" s="449"/>
      <c r="W64" s="449"/>
      <c r="X64" s="449"/>
      <c r="Y64" s="449"/>
      <c r="Z64" s="449"/>
      <c r="AA64" s="449"/>
      <c r="AB64" s="449"/>
      <c r="AC64" s="449"/>
      <c r="AD64" s="449"/>
      <c r="AE64" s="449"/>
      <c r="AF64" s="449"/>
      <c r="AG64" s="449"/>
      <c r="AH64" s="449"/>
      <c r="AI64" s="449"/>
      <c r="AJ64" s="449"/>
      <c r="AK64" s="449"/>
      <c r="AL64" s="449"/>
      <c r="AM64" s="449"/>
      <c r="AN64" s="449"/>
      <c r="AO64" s="449"/>
      <c r="AP64" s="449"/>
      <c r="AQ64" s="449"/>
      <c r="AR64" s="449"/>
      <c r="AS64" s="449"/>
      <c r="AT64" s="449"/>
      <c r="AU64" s="449"/>
      <c r="AV64" s="449"/>
      <c r="AW64" s="449"/>
      <c r="AX64" s="449"/>
      <c r="AY64" s="449"/>
      <c r="AZ64" s="449"/>
      <c r="BA64" s="449"/>
      <c r="BB64" s="449"/>
      <c r="BC64" s="449"/>
      <c r="BD64" s="449"/>
      <c r="BE64" s="449"/>
      <c r="BF64" s="449"/>
      <c r="BG64" s="449"/>
      <c r="BH64" s="449"/>
      <c r="BI64" s="449"/>
      <c r="BJ64" s="449"/>
      <c r="BK64" s="449"/>
      <c r="BL64" s="449"/>
      <c r="BM64" s="449"/>
      <c r="BN64" s="449"/>
      <c r="BO64" s="449"/>
      <c r="BP64" s="449"/>
      <c r="BQ64" s="449"/>
      <c r="BR64" s="449"/>
      <c r="BS64" s="449"/>
      <c r="BT64" s="449"/>
      <c r="BU64" s="449"/>
      <c r="BV64" s="449"/>
      <c r="BW64" s="449"/>
      <c r="BX64" s="449"/>
      <c r="BY64" s="449"/>
      <c r="BZ64" s="449"/>
      <c r="CA64" s="449"/>
      <c r="CB64" s="449"/>
      <c r="CC64" s="449"/>
      <c r="CD64" s="449"/>
      <c r="CE64" s="449"/>
      <c r="CF64" s="449"/>
      <c r="CG64" s="449"/>
      <c r="CH64" s="449"/>
      <c r="CI64" s="449"/>
      <c r="CJ64" s="449"/>
      <c r="CK64" s="449"/>
      <c r="CL64" s="449"/>
      <c r="CM64" s="449"/>
      <c r="CN64" s="449"/>
      <c r="CO64" s="449"/>
      <c r="CP64" s="449"/>
    </row>
    <row r="65" ht="16" customHeight="1">
      <c r="A65" s="449"/>
      <c r="B65" s="449"/>
      <c r="C65" s="449"/>
      <c r="D65" s="449"/>
      <c r="E65" s="449"/>
      <c r="F65" s="449"/>
      <c r="G65" s="449"/>
      <c r="H65" s="449"/>
      <c r="I65" s="449"/>
      <c r="J65" s="449"/>
      <c r="K65" s="449"/>
      <c r="L65" s="449"/>
      <c r="M65" s="449"/>
      <c r="N65" s="449"/>
      <c r="O65" s="449"/>
      <c r="P65" s="449"/>
      <c r="Q65" s="449"/>
      <c r="R65" s="449"/>
      <c r="S65" s="449"/>
      <c r="T65" s="449"/>
      <c r="U65" s="449"/>
      <c r="V65" s="449"/>
      <c r="W65" s="449"/>
      <c r="X65" s="449"/>
      <c r="Y65" s="449"/>
      <c r="Z65" s="449"/>
      <c r="AA65" s="449"/>
      <c r="AB65" s="449"/>
      <c r="AC65" s="449"/>
      <c r="AD65" s="449"/>
      <c r="AE65" s="449"/>
      <c r="AF65" s="449"/>
      <c r="AG65" s="449"/>
      <c r="AH65" s="449"/>
      <c r="AI65" s="449"/>
      <c r="AJ65" s="449"/>
      <c r="AK65" s="449"/>
      <c r="AL65" s="449"/>
      <c r="AM65" s="449"/>
      <c r="AN65" s="449"/>
      <c r="AO65" s="449"/>
      <c r="AP65" s="449"/>
      <c r="AQ65" s="449"/>
      <c r="AR65" s="449"/>
      <c r="AS65" s="449"/>
      <c r="AT65" s="449"/>
      <c r="AU65" s="449"/>
      <c r="AV65" s="449"/>
      <c r="AW65" s="449"/>
      <c r="AX65" s="449"/>
      <c r="AY65" s="449"/>
      <c r="AZ65" s="449"/>
      <c r="BA65" s="449"/>
      <c r="BB65" s="449"/>
      <c r="BC65" s="449"/>
      <c r="BD65" s="449"/>
      <c r="BE65" s="449"/>
      <c r="BF65" s="449"/>
      <c r="BG65" s="449"/>
      <c r="BH65" s="449"/>
      <c r="BI65" s="449"/>
      <c r="BJ65" s="449"/>
      <c r="BK65" s="449"/>
      <c r="BL65" s="449"/>
      <c r="BM65" s="449"/>
      <c r="BN65" s="449"/>
      <c r="BO65" s="449"/>
      <c r="BP65" s="449"/>
      <c r="BQ65" s="449"/>
      <c r="BR65" s="449"/>
      <c r="BS65" s="449"/>
      <c r="BT65" s="449"/>
      <c r="BU65" s="449"/>
      <c r="BV65" s="449"/>
      <c r="BW65" s="449"/>
      <c r="BX65" s="449"/>
      <c r="BY65" s="449"/>
      <c r="BZ65" s="449"/>
      <c r="CA65" s="449"/>
      <c r="CB65" s="449"/>
      <c r="CC65" s="449"/>
      <c r="CD65" s="449"/>
      <c r="CE65" s="449"/>
      <c r="CF65" s="449"/>
      <c r="CG65" s="449"/>
      <c r="CH65" s="449"/>
      <c r="CI65" s="449"/>
      <c r="CJ65" s="449"/>
      <c r="CK65" s="449"/>
      <c r="CL65" s="449"/>
      <c r="CM65" s="449"/>
      <c r="CN65" s="449"/>
      <c r="CO65" s="449"/>
      <c r="CP65" s="449"/>
    </row>
    <row r="66" ht="16" customHeight="1">
      <c r="A66" s="449"/>
      <c r="B66" s="449"/>
      <c r="C66" s="449"/>
      <c r="D66" s="449"/>
      <c r="E66" s="449"/>
      <c r="F66" s="449"/>
      <c r="G66" s="449"/>
      <c r="H66" s="449"/>
      <c r="I66" s="449"/>
      <c r="J66" s="449"/>
      <c r="K66" s="449"/>
      <c r="L66" s="449"/>
      <c r="M66" s="449"/>
      <c r="N66" s="449"/>
      <c r="O66" s="449"/>
      <c r="P66" s="449"/>
      <c r="Q66" s="449"/>
      <c r="R66" s="449"/>
      <c r="S66" s="449"/>
      <c r="T66" s="449"/>
      <c r="U66" s="449"/>
      <c r="V66" s="449"/>
      <c r="W66" s="449"/>
      <c r="X66" s="449"/>
      <c r="Y66" s="449"/>
      <c r="Z66" s="449"/>
      <c r="AA66" s="449"/>
      <c r="AB66" s="449"/>
      <c r="AC66" s="449"/>
      <c r="AD66" s="449"/>
      <c r="AE66" s="449"/>
      <c r="AF66" s="449"/>
      <c r="AG66" s="449"/>
      <c r="AH66" s="449"/>
      <c r="AI66" s="449"/>
      <c r="AJ66" s="449"/>
      <c r="AK66" s="449"/>
      <c r="AL66" s="449"/>
      <c r="AM66" s="449"/>
      <c r="AN66" s="449"/>
      <c r="AO66" s="449"/>
      <c r="AP66" s="449"/>
      <c r="AQ66" s="449"/>
      <c r="AR66" s="449"/>
      <c r="AS66" s="449"/>
      <c r="AT66" s="449"/>
      <c r="AU66" s="449"/>
      <c r="AV66" s="449"/>
      <c r="AW66" s="449"/>
      <c r="AX66" s="449"/>
      <c r="AY66" s="449"/>
      <c r="AZ66" s="449"/>
      <c r="BA66" s="449"/>
      <c r="BB66" s="449"/>
      <c r="BC66" s="449"/>
      <c r="BD66" s="449"/>
      <c r="BE66" s="449"/>
      <c r="BF66" s="449"/>
      <c r="BG66" s="449"/>
      <c r="BH66" s="449"/>
      <c r="BI66" s="449"/>
      <c r="BJ66" s="449"/>
      <c r="BK66" s="449"/>
      <c r="BL66" s="449"/>
      <c r="BM66" s="449"/>
      <c r="BN66" s="449"/>
      <c r="BO66" s="449"/>
      <c r="BP66" s="449"/>
      <c r="BQ66" s="449"/>
      <c r="BR66" s="449"/>
      <c r="BS66" s="449"/>
      <c r="BT66" s="449"/>
      <c r="BU66" s="449"/>
      <c r="BV66" s="449"/>
      <c r="BW66" s="449"/>
      <c r="BX66" s="449"/>
      <c r="BY66" s="449"/>
      <c r="BZ66" s="449"/>
      <c r="CA66" s="449"/>
      <c r="CB66" s="449"/>
      <c r="CC66" s="449"/>
      <c r="CD66" s="449"/>
      <c r="CE66" s="449"/>
      <c r="CF66" s="449"/>
      <c r="CG66" s="449"/>
      <c r="CH66" s="449"/>
      <c r="CI66" s="449"/>
      <c r="CJ66" s="449"/>
      <c r="CK66" s="449"/>
      <c r="CL66" s="449"/>
      <c r="CM66" s="449"/>
      <c r="CN66" s="449"/>
      <c r="CO66" s="449"/>
      <c r="CP66" s="449"/>
    </row>
    <row r="67" ht="16" customHeight="1">
      <c r="A67" s="449"/>
      <c r="B67" s="449"/>
      <c r="C67" s="449"/>
      <c r="D67" s="449"/>
      <c r="E67" s="449"/>
      <c r="F67" s="449"/>
      <c r="G67" s="449"/>
      <c r="H67" s="449"/>
      <c r="I67" s="449"/>
      <c r="J67" s="449"/>
      <c r="K67" s="449"/>
      <c r="L67" s="449"/>
      <c r="M67" s="449"/>
      <c r="N67" s="449"/>
      <c r="O67" s="449"/>
      <c r="P67" s="449"/>
      <c r="Q67" s="449"/>
      <c r="R67" s="449"/>
      <c r="S67" s="449"/>
      <c r="T67" s="449"/>
      <c r="U67" s="449"/>
      <c r="V67" s="449"/>
      <c r="W67" s="449"/>
      <c r="X67" s="449"/>
      <c r="Y67" s="449"/>
      <c r="Z67" s="449"/>
      <c r="AA67" s="449"/>
      <c r="AB67" s="449"/>
      <c r="AC67" s="449"/>
      <c r="AD67" s="449"/>
      <c r="AE67" s="449"/>
      <c r="AF67" s="449"/>
      <c r="AG67" s="449"/>
      <c r="AH67" s="449"/>
      <c r="AI67" s="449"/>
      <c r="AJ67" s="449"/>
      <c r="AK67" s="449"/>
      <c r="AL67" s="449"/>
      <c r="AM67" s="449"/>
      <c r="AN67" s="449"/>
      <c r="AO67" s="449"/>
      <c r="AP67" s="449"/>
      <c r="AQ67" s="449"/>
      <c r="AR67" s="449"/>
      <c r="AS67" s="449"/>
      <c r="AT67" s="449"/>
      <c r="AU67" s="449"/>
      <c r="AV67" s="449"/>
      <c r="AW67" s="449"/>
      <c r="AX67" s="449"/>
      <c r="AY67" s="449"/>
      <c r="AZ67" s="449"/>
      <c r="BA67" s="449"/>
      <c r="BB67" s="449"/>
      <c r="BC67" s="449"/>
      <c r="BD67" s="449"/>
      <c r="BE67" s="449"/>
      <c r="BF67" s="449"/>
      <c r="BG67" s="449"/>
      <c r="BH67" s="449"/>
      <c r="BI67" s="449"/>
      <c r="BJ67" s="449"/>
      <c r="BK67" s="449"/>
      <c r="BL67" s="449"/>
      <c r="BM67" s="449"/>
      <c r="BN67" s="449"/>
      <c r="BO67" s="449"/>
      <c r="BP67" s="449"/>
      <c r="BQ67" s="449"/>
      <c r="BR67" s="449"/>
      <c r="BS67" s="449"/>
      <c r="BT67" s="449"/>
      <c r="BU67" s="449"/>
      <c r="BV67" s="449"/>
      <c r="BW67" s="449"/>
      <c r="BX67" s="449"/>
      <c r="BY67" s="449"/>
      <c r="BZ67" s="449"/>
      <c r="CA67" s="449"/>
      <c r="CB67" s="449"/>
      <c r="CC67" s="449"/>
      <c r="CD67" s="449"/>
      <c r="CE67" s="449"/>
      <c r="CF67" s="449"/>
      <c r="CG67" s="449"/>
      <c r="CH67" s="449"/>
      <c r="CI67" s="449"/>
      <c r="CJ67" s="449"/>
      <c r="CK67" s="449"/>
      <c r="CL67" s="449"/>
      <c r="CM67" s="449"/>
      <c r="CN67" s="449"/>
      <c r="CO67" s="449"/>
      <c r="CP67" s="449"/>
    </row>
    <row r="68" ht="16" customHeight="1">
      <c r="A68" s="449"/>
      <c r="B68" s="449"/>
      <c r="C68" s="449"/>
      <c r="D68" s="449"/>
      <c r="E68" s="449"/>
      <c r="F68" s="449"/>
      <c r="G68" s="449"/>
      <c r="H68" s="449"/>
      <c r="I68" s="449"/>
      <c r="J68" s="449"/>
      <c r="K68" s="449"/>
      <c r="L68" s="449"/>
      <c r="M68" s="449"/>
      <c r="N68" s="449"/>
      <c r="O68" s="449"/>
      <c r="P68" s="449"/>
      <c r="Q68" s="449"/>
      <c r="R68" s="449"/>
      <c r="S68" s="449"/>
      <c r="T68" s="449"/>
      <c r="U68" s="449"/>
      <c r="V68" s="449"/>
      <c r="W68" s="449"/>
      <c r="X68" s="449"/>
      <c r="Y68" s="449"/>
      <c r="Z68" s="449"/>
      <c r="AA68" s="449"/>
      <c r="AB68" s="449"/>
      <c r="AC68" s="449"/>
      <c r="AD68" s="449"/>
      <c r="AE68" s="449"/>
      <c r="AF68" s="449"/>
      <c r="AG68" s="449"/>
      <c r="AH68" s="449"/>
      <c r="AI68" s="449"/>
      <c r="AJ68" s="449"/>
      <c r="AK68" s="449"/>
      <c r="AL68" s="449"/>
      <c r="AM68" s="449"/>
      <c r="AN68" s="449"/>
      <c r="AO68" s="449"/>
      <c r="AP68" s="449"/>
      <c r="AQ68" s="449"/>
      <c r="AR68" s="449"/>
      <c r="AS68" s="449"/>
      <c r="AT68" s="449"/>
      <c r="AU68" s="449"/>
      <c r="AV68" s="449"/>
      <c r="AW68" s="449"/>
      <c r="AX68" s="449"/>
      <c r="AY68" s="449"/>
      <c r="AZ68" s="449"/>
      <c r="BA68" s="449"/>
      <c r="BB68" s="449"/>
      <c r="BC68" s="449"/>
      <c r="BD68" s="449"/>
      <c r="BE68" s="449"/>
      <c r="BF68" s="449"/>
      <c r="BG68" s="449"/>
      <c r="BH68" s="449"/>
      <c r="BI68" s="449"/>
      <c r="BJ68" s="449"/>
      <c r="BK68" s="449"/>
      <c r="BL68" s="449"/>
      <c r="BM68" s="449"/>
      <c r="BN68" s="449"/>
      <c r="BO68" s="449"/>
      <c r="BP68" s="449"/>
      <c r="BQ68" s="449"/>
      <c r="BR68" s="449"/>
      <c r="BS68" s="449"/>
      <c r="BT68" s="449"/>
      <c r="BU68" s="449"/>
      <c r="BV68" s="449"/>
      <c r="BW68" s="449"/>
      <c r="BX68" s="449"/>
      <c r="BY68" s="449"/>
      <c r="BZ68" s="449"/>
      <c r="CA68" s="449"/>
      <c r="CB68" s="449"/>
      <c r="CC68" s="449"/>
      <c r="CD68" s="449"/>
      <c r="CE68" s="449"/>
      <c r="CF68" s="449"/>
      <c r="CG68" s="449"/>
      <c r="CH68" s="449"/>
      <c r="CI68" s="449"/>
      <c r="CJ68" s="449"/>
      <c r="CK68" s="449"/>
      <c r="CL68" s="449"/>
      <c r="CM68" s="449"/>
      <c r="CN68" s="449"/>
      <c r="CO68" s="449"/>
      <c r="CP68" s="449"/>
    </row>
    <row r="69" ht="16" customHeight="1">
      <c r="A69" s="449"/>
      <c r="B69" s="449"/>
      <c r="C69" s="449"/>
      <c r="D69" s="449"/>
      <c r="E69" s="449"/>
      <c r="F69" s="449"/>
      <c r="G69" s="449"/>
      <c r="H69" s="449"/>
      <c r="I69" s="449"/>
      <c r="J69" s="449"/>
      <c r="K69" s="449"/>
      <c r="L69" s="449"/>
      <c r="M69" s="449"/>
      <c r="N69" s="449"/>
      <c r="O69" s="449"/>
      <c r="P69" s="449"/>
      <c r="Q69" s="449"/>
      <c r="R69" s="449"/>
      <c r="S69" s="449"/>
      <c r="T69" s="449"/>
      <c r="U69" s="449"/>
      <c r="V69" s="449"/>
      <c r="W69" s="449"/>
      <c r="X69" s="449"/>
      <c r="Y69" s="449"/>
      <c r="Z69" s="449"/>
      <c r="AA69" s="449"/>
      <c r="AB69" s="449"/>
      <c r="AC69" s="449"/>
      <c r="AD69" s="449"/>
      <c r="AE69" s="449"/>
      <c r="AF69" s="449"/>
      <c r="AG69" s="449"/>
      <c r="AH69" s="449"/>
      <c r="AI69" s="449"/>
      <c r="AJ69" s="449"/>
      <c r="AK69" s="449"/>
      <c r="AL69" s="449"/>
      <c r="AM69" s="449"/>
      <c r="AN69" s="449"/>
      <c r="AO69" s="449"/>
      <c r="AP69" s="449"/>
      <c r="AQ69" s="449"/>
      <c r="AR69" s="449"/>
      <c r="AS69" s="449"/>
      <c r="AT69" s="449"/>
      <c r="AU69" s="449"/>
      <c r="AV69" s="449"/>
      <c r="AW69" s="449"/>
      <c r="AX69" s="449"/>
      <c r="AY69" s="449"/>
      <c r="AZ69" s="449"/>
      <c r="BA69" s="449"/>
      <c r="BB69" s="449"/>
      <c r="BC69" s="449"/>
      <c r="BD69" s="449"/>
      <c r="BE69" s="449"/>
      <c r="BF69" s="449"/>
      <c r="BG69" s="449"/>
      <c r="BH69" s="449"/>
      <c r="BI69" s="449"/>
      <c r="BJ69" s="449"/>
      <c r="BK69" s="449"/>
      <c r="BL69" s="449"/>
      <c r="BM69" s="449"/>
      <c r="BN69" s="449"/>
      <c r="BO69" s="449"/>
      <c r="BP69" s="449"/>
      <c r="BQ69" s="449"/>
      <c r="BR69" s="449"/>
      <c r="BS69" s="449"/>
      <c r="BT69" s="449"/>
      <c r="BU69" s="449"/>
      <c r="BV69" s="449"/>
      <c r="BW69" s="449"/>
      <c r="BX69" s="449"/>
      <c r="BY69" s="449"/>
      <c r="BZ69" s="449"/>
      <c r="CA69" s="449"/>
      <c r="CB69" s="449"/>
      <c r="CC69" s="449"/>
      <c r="CD69" s="449"/>
      <c r="CE69" s="449"/>
      <c r="CF69" s="449"/>
      <c r="CG69" s="449"/>
      <c r="CH69" s="449"/>
      <c r="CI69" s="449"/>
      <c r="CJ69" s="449"/>
      <c r="CK69" s="449"/>
      <c r="CL69" s="449"/>
      <c r="CM69" s="449"/>
      <c r="CN69" s="449"/>
      <c r="CO69" s="449"/>
      <c r="CP69" s="449"/>
    </row>
    <row r="70" ht="16" customHeight="1">
      <c r="A70" s="449"/>
      <c r="B70" s="449"/>
      <c r="C70" s="449"/>
      <c r="D70" s="449"/>
      <c r="E70" s="449"/>
      <c r="F70" s="449"/>
      <c r="G70" s="449"/>
      <c r="H70" s="449"/>
      <c r="I70" s="449"/>
      <c r="J70" s="449"/>
      <c r="K70" s="449"/>
      <c r="L70" s="449"/>
      <c r="M70" s="449"/>
      <c r="N70" s="449"/>
      <c r="O70" s="449"/>
      <c r="P70" s="449"/>
      <c r="Q70" s="449"/>
      <c r="R70" s="449"/>
      <c r="S70" s="449"/>
      <c r="T70" s="449"/>
      <c r="U70" s="449"/>
      <c r="V70" s="449"/>
      <c r="W70" s="449"/>
      <c r="X70" s="449"/>
      <c r="Y70" s="449"/>
      <c r="Z70" s="449"/>
      <c r="AA70" s="449"/>
      <c r="AB70" s="449"/>
      <c r="AC70" s="449"/>
      <c r="AD70" s="449"/>
      <c r="AE70" s="449"/>
      <c r="AF70" s="449"/>
      <c r="AG70" s="449"/>
      <c r="AH70" s="449"/>
      <c r="AI70" s="449"/>
      <c r="AJ70" s="449"/>
      <c r="AK70" s="449"/>
      <c r="AL70" s="449"/>
      <c r="AM70" s="449"/>
      <c r="AN70" s="449"/>
      <c r="AO70" s="449"/>
      <c r="AP70" s="449"/>
      <c r="AQ70" s="449"/>
      <c r="AR70" s="449"/>
      <c r="AS70" s="449"/>
      <c r="AT70" s="449"/>
      <c r="AU70" s="449"/>
      <c r="AV70" s="449"/>
      <c r="AW70" s="449"/>
      <c r="AX70" s="449"/>
      <c r="AY70" s="449"/>
      <c r="AZ70" s="449"/>
      <c r="BA70" s="449"/>
      <c r="BB70" s="449"/>
      <c r="BC70" s="449"/>
      <c r="BD70" s="449"/>
      <c r="BE70" s="449"/>
      <c r="BF70" s="449"/>
      <c r="BG70" s="449"/>
      <c r="BH70" s="449"/>
      <c r="BI70" s="449"/>
      <c r="BJ70" s="449"/>
      <c r="BK70" s="449"/>
      <c r="BL70" s="449"/>
      <c r="BM70" s="449"/>
      <c r="BN70" s="449"/>
      <c r="BO70" s="449"/>
      <c r="BP70" s="449"/>
      <c r="BQ70" s="449"/>
      <c r="BR70" s="449"/>
      <c r="BS70" s="449"/>
      <c r="BT70" s="449"/>
      <c r="BU70" s="449"/>
      <c r="BV70" s="449"/>
      <c r="BW70" s="449"/>
      <c r="BX70" s="449"/>
      <c r="BY70" s="449"/>
      <c r="BZ70" s="449"/>
      <c r="CA70" s="449"/>
      <c r="CB70" s="449"/>
      <c r="CC70" s="449"/>
      <c r="CD70" s="449"/>
      <c r="CE70" s="449"/>
      <c r="CF70" s="449"/>
      <c r="CG70" s="449"/>
      <c r="CH70" s="449"/>
      <c r="CI70" s="449"/>
      <c r="CJ70" s="449"/>
      <c r="CK70" s="449"/>
      <c r="CL70" s="449"/>
      <c r="CM70" s="449"/>
      <c r="CN70" s="449"/>
      <c r="CO70" s="449"/>
      <c r="CP70" s="449"/>
    </row>
  </sheetData>
  <mergeCells count="8">
    <mergeCell ref="AP1:CB1"/>
    <mergeCell ref="CC1:CP1"/>
    <mergeCell ref="A1:A2"/>
    <mergeCell ref="B1:B2"/>
    <mergeCell ref="C1:C2"/>
    <mergeCell ref="D1:J1"/>
    <mergeCell ref="K1:Q1"/>
    <mergeCell ref="R1:AO1"/>
  </mergeCells>
  <conditionalFormatting sqref="D3:G3 K3:N3 R3:AI3 AP3:BI3 CC3:CJ3 D4:G4 K4:N4 R4:AI4 AP4:BI4 CC4:CJ4 D5:G5 K5:N5 R5:AI5 AP5:BI5 CC5:CJ5">
    <cfRule type="cellIs" dxfId="6" priority="1" operator="lessThan" stopIfTrue="1">
      <formula>0</formula>
    </cfRule>
  </conditionalFormatting>
  <pageMargins left="0.7" right="0.7" top="0.75" bottom="0.75" header="0.3" footer="0.3"/>
  <pageSetup firstPageNumber="1" fitToHeight="1" fitToWidth="1" scale="100" useFirstPageNumber="0" orientation="portrait" pageOrder="downThenOver"/>
  <headerFooter>
    <oddFooter>&amp;C&amp;"ヒラギノ角ゴ ProN W3,Regular"&amp;12&amp;K000000&amp;P</oddFooter>
  </headerFooter>
</worksheet>
</file>

<file path=xl/worksheets/sheet2.xml><?xml version="1.0" encoding="utf-8"?>
<worksheet xmlns:r="http://schemas.openxmlformats.org/officeDocument/2006/relationships" xmlns="http://schemas.openxmlformats.org/spreadsheetml/2006/main">
  <dimension ref="A1:J40"/>
  <sheetViews>
    <sheetView workbookViewId="0" showGridLines="0" defaultGridColor="1"/>
  </sheetViews>
  <sheetFormatPr defaultColWidth="9" defaultRowHeight="18.75" customHeight="1" outlineLevelRow="0" outlineLevelCol="0"/>
  <cols>
    <col min="1" max="10" width="9" style="6" customWidth="1"/>
    <col min="11" max="256" width="9" style="6" customWidth="1"/>
  </cols>
  <sheetData>
    <row r="1" ht="42.75" customHeight="1">
      <c r="A1" s="7"/>
      <c r="B1" s="8"/>
      <c r="C1" s="8"/>
      <c r="D1" s="8"/>
      <c r="E1" s="8"/>
      <c r="F1" s="8"/>
      <c r="G1" s="8"/>
      <c r="H1" s="8"/>
      <c r="I1" s="8"/>
      <c r="J1" s="9"/>
    </row>
    <row r="2" ht="22.5" customHeight="1">
      <c r="A2" s="10"/>
      <c r="B2" s="11"/>
      <c r="C2" s="11"/>
      <c r="D2" s="11"/>
      <c r="E2" s="11"/>
      <c r="F2" s="11"/>
      <c r="G2" s="11"/>
      <c r="H2" s="11"/>
      <c r="I2" s="11"/>
      <c r="J2" s="12"/>
    </row>
    <row r="3" ht="22.5" customHeight="1">
      <c r="A3" s="10"/>
      <c r="B3" s="11"/>
      <c r="C3" s="11"/>
      <c r="D3" s="11"/>
      <c r="E3" s="11"/>
      <c r="F3" s="11"/>
      <c r="G3" s="11"/>
      <c r="H3" s="11"/>
      <c r="I3" s="11"/>
      <c r="J3" s="12"/>
    </row>
    <row r="4" ht="22.5" customHeight="1">
      <c r="A4" s="10"/>
      <c r="B4" s="11"/>
      <c r="C4" s="11"/>
      <c r="D4" s="11"/>
      <c r="E4" s="11"/>
      <c r="F4" s="11"/>
      <c r="G4" s="11"/>
      <c r="H4" s="11"/>
      <c r="I4" s="11"/>
      <c r="J4" s="12"/>
    </row>
    <row r="5" ht="18.75" customHeight="1">
      <c r="A5" s="10"/>
      <c r="B5" s="11"/>
      <c r="C5" s="11"/>
      <c r="D5" s="11"/>
      <c r="E5" s="11"/>
      <c r="F5" s="11"/>
      <c r="G5" s="11"/>
      <c r="H5" s="11"/>
      <c r="I5" s="11"/>
      <c r="J5" s="12"/>
    </row>
    <row r="6" ht="18.75" customHeight="1">
      <c r="A6" s="10"/>
      <c r="B6" s="11"/>
      <c r="C6" s="11"/>
      <c r="D6" s="11"/>
      <c r="E6" s="11"/>
      <c r="F6" s="11"/>
      <c r="G6" s="11"/>
      <c r="H6" s="11"/>
      <c r="I6" s="11"/>
      <c r="J6" s="12"/>
    </row>
    <row r="7" ht="18.75" customHeight="1">
      <c r="A7" s="10"/>
      <c r="B7" s="11"/>
      <c r="C7" s="11"/>
      <c r="D7" s="11"/>
      <c r="E7" s="11"/>
      <c r="F7" s="11"/>
      <c r="G7" s="11"/>
      <c r="H7" s="11"/>
      <c r="I7" s="11"/>
      <c r="J7" s="12"/>
    </row>
    <row r="8" ht="18.75" customHeight="1">
      <c r="A8" t="s" s="13">
        <v>6</v>
      </c>
      <c r="B8" s="14"/>
      <c r="C8" s="14"/>
      <c r="D8" s="14"/>
      <c r="E8" s="14"/>
      <c r="F8" s="14"/>
      <c r="G8" s="14"/>
      <c r="H8" s="14"/>
      <c r="I8" s="14"/>
      <c r="J8" s="15"/>
    </row>
    <row r="9" ht="18.75" customHeight="1">
      <c r="A9" t="s" s="16">
        <v>7</v>
      </c>
      <c r="B9" s="17"/>
      <c r="C9" s="17"/>
      <c r="D9" s="17"/>
      <c r="E9" s="17"/>
      <c r="F9" s="17"/>
      <c r="G9" s="17"/>
      <c r="H9" s="17"/>
      <c r="I9" s="17"/>
      <c r="J9" s="18"/>
    </row>
    <row r="10" ht="18.75" customHeight="1">
      <c r="A10" s="19"/>
      <c r="B10" s="17"/>
      <c r="C10" s="17"/>
      <c r="D10" s="17"/>
      <c r="E10" s="17"/>
      <c r="F10" s="17"/>
      <c r="G10" s="17"/>
      <c r="H10" s="17"/>
      <c r="I10" s="17"/>
      <c r="J10" s="18"/>
    </row>
    <row r="11" ht="18.75" customHeight="1">
      <c r="A11" s="19"/>
      <c r="B11" s="17"/>
      <c r="C11" s="17"/>
      <c r="D11" s="17"/>
      <c r="E11" s="17"/>
      <c r="F11" s="17"/>
      <c r="G11" s="17"/>
      <c r="H11" s="17"/>
      <c r="I11" s="17"/>
      <c r="J11" s="18"/>
    </row>
    <row r="12" ht="18.75" customHeight="1">
      <c r="A12" s="19"/>
      <c r="B12" s="17"/>
      <c r="C12" s="17"/>
      <c r="D12" s="17"/>
      <c r="E12" s="17"/>
      <c r="F12" s="17"/>
      <c r="G12" s="17"/>
      <c r="H12" s="17"/>
      <c r="I12" s="17"/>
      <c r="J12" s="18"/>
    </row>
    <row r="13" ht="18.75" customHeight="1">
      <c r="A13" s="10"/>
      <c r="B13" s="11"/>
      <c r="C13" s="11"/>
      <c r="D13" s="11"/>
      <c r="E13" s="11"/>
      <c r="F13" s="11"/>
      <c r="G13" s="11"/>
      <c r="H13" s="11"/>
      <c r="I13" s="11"/>
      <c r="J13" s="12"/>
    </row>
    <row r="14" ht="18.75" customHeight="1">
      <c r="A14" s="10"/>
      <c r="B14" s="11"/>
      <c r="C14" s="11"/>
      <c r="D14" s="11"/>
      <c r="E14" s="11"/>
      <c r="F14" s="11"/>
      <c r="G14" s="11"/>
      <c r="H14" s="11"/>
      <c r="I14" s="11"/>
      <c r="J14" s="12"/>
    </row>
    <row r="15" ht="18.75" customHeight="1">
      <c r="A15" t="s" s="20">
        <v>8</v>
      </c>
      <c r="B15" s="21"/>
      <c r="C15" s="21"/>
      <c r="D15" s="21"/>
      <c r="E15" s="21"/>
      <c r="F15" s="21"/>
      <c r="G15" s="21"/>
      <c r="H15" s="21"/>
      <c r="I15" s="21"/>
      <c r="J15" s="22"/>
    </row>
    <row r="16" ht="18.75" customHeight="1">
      <c r="A16" s="23"/>
      <c r="B16" s="21"/>
      <c r="C16" s="21"/>
      <c r="D16" s="21"/>
      <c r="E16" s="21"/>
      <c r="F16" s="21"/>
      <c r="G16" s="21"/>
      <c r="H16" s="21"/>
      <c r="I16" s="21"/>
      <c r="J16" s="22"/>
    </row>
    <row r="17" ht="18.75" customHeight="1">
      <c r="A17" s="10"/>
      <c r="B17" s="11"/>
      <c r="C17" s="11"/>
      <c r="D17" s="11"/>
      <c r="E17" s="11"/>
      <c r="F17" s="11"/>
      <c r="G17" s="11"/>
      <c r="H17" s="11"/>
      <c r="I17" s="11"/>
      <c r="J17" s="12"/>
    </row>
    <row r="18" ht="18.75" customHeight="1">
      <c r="A18" s="10"/>
      <c r="B18" s="11"/>
      <c r="C18" s="11"/>
      <c r="D18" s="11"/>
      <c r="E18" s="11"/>
      <c r="F18" s="11"/>
      <c r="G18" s="11"/>
      <c r="H18" s="11"/>
      <c r="I18" s="11"/>
      <c r="J18" s="12"/>
    </row>
    <row r="19" ht="18.75" customHeight="1">
      <c r="A19" t="s" s="24">
        <v>9</v>
      </c>
      <c r="B19" s="25"/>
      <c r="C19" s="25"/>
      <c r="D19" s="25"/>
      <c r="E19" s="25"/>
      <c r="F19" s="25"/>
      <c r="G19" s="25"/>
      <c r="H19" s="25"/>
      <c r="I19" s="25"/>
      <c r="J19" s="26"/>
    </row>
    <row r="20" ht="18.75" customHeight="1">
      <c r="A20" s="27"/>
      <c r="B20" s="25"/>
      <c r="C20" s="25"/>
      <c r="D20" s="25"/>
      <c r="E20" s="25"/>
      <c r="F20" s="25"/>
      <c r="G20" s="25"/>
      <c r="H20" s="25"/>
      <c r="I20" s="25"/>
      <c r="J20" s="26"/>
    </row>
    <row r="21" ht="18.75" customHeight="1">
      <c r="A21" s="27"/>
      <c r="B21" s="25"/>
      <c r="C21" s="25"/>
      <c r="D21" s="25"/>
      <c r="E21" s="25"/>
      <c r="F21" s="25"/>
      <c r="G21" s="25"/>
      <c r="H21" s="25"/>
      <c r="I21" s="25"/>
      <c r="J21" s="26"/>
    </row>
    <row r="22" ht="18.75" customHeight="1">
      <c r="A22" s="27"/>
      <c r="B22" s="25"/>
      <c r="C22" s="25"/>
      <c r="D22" s="25"/>
      <c r="E22" s="25"/>
      <c r="F22" s="25"/>
      <c r="G22" s="25"/>
      <c r="H22" s="25"/>
      <c r="I22" s="25"/>
      <c r="J22" s="26"/>
    </row>
    <row r="23" ht="18.75" customHeight="1">
      <c r="A23" s="27"/>
      <c r="B23" s="25"/>
      <c r="C23" s="25"/>
      <c r="D23" s="25"/>
      <c r="E23" s="25"/>
      <c r="F23" s="25"/>
      <c r="G23" s="25"/>
      <c r="H23" s="25"/>
      <c r="I23" s="25"/>
      <c r="J23" s="26"/>
    </row>
    <row r="24" ht="18.75" customHeight="1">
      <c r="A24" s="27"/>
      <c r="B24" s="25"/>
      <c r="C24" s="25"/>
      <c r="D24" s="25"/>
      <c r="E24" s="25"/>
      <c r="F24" s="25"/>
      <c r="G24" s="25"/>
      <c r="H24" s="25"/>
      <c r="I24" s="25"/>
      <c r="J24" s="26"/>
    </row>
    <row r="25" ht="18.75" customHeight="1">
      <c r="A25" s="27"/>
      <c r="B25" s="25"/>
      <c r="C25" s="25"/>
      <c r="D25" s="25"/>
      <c r="E25" s="25"/>
      <c r="F25" s="25"/>
      <c r="G25" s="25"/>
      <c r="H25" s="25"/>
      <c r="I25" s="25"/>
      <c r="J25" s="26"/>
    </row>
    <row r="26" ht="19.5" customHeight="1">
      <c r="A26" s="28"/>
      <c r="B26" s="29"/>
      <c r="C26" s="29"/>
      <c r="D26" s="29"/>
      <c r="E26" s="29"/>
      <c r="F26" s="29"/>
      <c r="G26" s="29"/>
      <c r="H26" s="29"/>
      <c r="I26" s="29"/>
      <c r="J26" s="30"/>
    </row>
    <row r="27" ht="18.75" customHeight="1">
      <c r="A27" t="s" s="31">
        <v>10</v>
      </c>
      <c r="B27" s="32"/>
      <c r="C27" s="32"/>
      <c r="D27" s="32"/>
      <c r="E27" s="32"/>
      <c r="F27" s="32"/>
      <c r="G27" s="32"/>
      <c r="H27" s="32"/>
      <c r="I27" s="32"/>
      <c r="J27" s="33"/>
    </row>
    <row r="28" ht="18.75" customHeight="1">
      <c r="A28" t="s" s="34">
        <v>11</v>
      </c>
      <c r="B28" t="s" s="35">
        <v>12</v>
      </c>
      <c r="C28" s="36"/>
      <c r="D28" s="36"/>
      <c r="E28" s="36"/>
      <c r="F28" s="36"/>
      <c r="G28" s="36"/>
      <c r="H28" s="36"/>
      <c r="I28" s="36"/>
      <c r="J28" s="37"/>
    </row>
    <row r="29" ht="18.75" customHeight="1">
      <c r="A29" s="38"/>
      <c r="B29" t="s" s="35">
        <v>13</v>
      </c>
      <c r="C29" s="36"/>
      <c r="D29" s="36"/>
      <c r="E29" s="36"/>
      <c r="F29" s="36"/>
      <c r="G29" s="36"/>
      <c r="H29" s="36"/>
      <c r="I29" s="36"/>
      <c r="J29" s="37"/>
    </row>
    <row r="30" ht="18.75" customHeight="1">
      <c r="A30" s="38"/>
      <c r="B30" s="36"/>
      <c r="C30" s="36"/>
      <c r="D30" s="36"/>
      <c r="E30" s="36"/>
      <c r="F30" s="36"/>
      <c r="G30" s="36"/>
      <c r="H30" s="36"/>
      <c r="I30" s="36"/>
      <c r="J30" s="37"/>
    </row>
    <row r="31" ht="18.75" customHeight="1">
      <c r="A31" t="s" s="34">
        <v>14</v>
      </c>
      <c r="B31" t="s" s="35">
        <v>15</v>
      </c>
      <c r="C31" s="36"/>
      <c r="D31" s="36"/>
      <c r="E31" s="36"/>
      <c r="F31" s="36"/>
      <c r="G31" s="36"/>
      <c r="H31" s="36"/>
      <c r="I31" s="36"/>
      <c r="J31" s="37"/>
    </row>
    <row r="32" ht="18.75" customHeight="1">
      <c r="A32" s="38"/>
      <c r="B32" t="s" s="35">
        <v>16</v>
      </c>
      <c r="C32" s="36"/>
      <c r="D32" s="36"/>
      <c r="E32" s="36"/>
      <c r="F32" s="36"/>
      <c r="G32" s="36"/>
      <c r="H32" s="36"/>
      <c r="I32" s="36"/>
      <c r="J32" s="37"/>
    </row>
    <row r="33" ht="18.75" customHeight="1">
      <c r="A33" s="38"/>
      <c r="B33" t="s" s="35">
        <v>17</v>
      </c>
      <c r="C33" s="36"/>
      <c r="D33" s="36"/>
      <c r="E33" s="36"/>
      <c r="F33" s="36"/>
      <c r="G33" s="36"/>
      <c r="H33" s="36"/>
      <c r="I33" s="36"/>
      <c r="J33" s="37"/>
    </row>
    <row r="34" ht="18.75" customHeight="1">
      <c r="A34" s="38"/>
      <c r="B34" s="36"/>
      <c r="C34" s="36"/>
      <c r="D34" s="36"/>
      <c r="E34" s="36"/>
      <c r="F34" s="36"/>
      <c r="G34" s="36"/>
      <c r="H34" s="36"/>
      <c r="I34" s="36"/>
      <c r="J34" s="37"/>
    </row>
    <row r="35" ht="18.75" customHeight="1">
      <c r="A35" s="38"/>
      <c r="B35" s="36"/>
      <c r="C35" s="36"/>
      <c r="D35" s="36"/>
      <c r="E35" s="36"/>
      <c r="F35" s="36"/>
      <c r="G35" s="36"/>
      <c r="H35" s="36"/>
      <c r="I35" s="36"/>
      <c r="J35" s="37"/>
    </row>
    <row r="36" ht="18.75" customHeight="1">
      <c r="A36" t="s" s="34">
        <v>18</v>
      </c>
      <c r="B36" t="s" s="35">
        <v>19</v>
      </c>
      <c r="C36" s="36"/>
      <c r="D36" s="36"/>
      <c r="E36" s="36"/>
      <c r="F36" s="36"/>
      <c r="G36" s="36"/>
      <c r="H36" s="36"/>
      <c r="I36" s="36"/>
      <c r="J36" s="37"/>
    </row>
    <row r="37" ht="18.75" customHeight="1">
      <c r="A37" s="38"/>
      <c r="B37" t="s" s="35">
        <v>20</v>
      </c>
      <c r="C37" s="36"/>
      <c r="D37" s="36"/>
      <c r="E37" s="36"/>
      <c r="F37" s="36"/>
      <c r="G37" s="36"/>
      <c r="H37" s="36"/>
      <c r="I37" s="36"/>
      <c r="J37" s="37"/>
    </row>
    <row r="38" ht="18.75" customHeight="1">
      <c r="A38" s="38"/>
      <c r="B38" t="s" s="35">
        <v>21</v>
      </c>
      <c r="C38" s="36"/>
      <c r="D38" s="36"/>
      <c r="E38" s="36"/>
      <c r="F38" s="36"/>
      <c r="G38" s="36"/>
      <c r="H38" s="36"/>
      <c r="I38" s="36"/>
      <c r="J38" s="37"/>
    </row>
    <row r="39" ht="18.75" customHeight="1">
      <c r="A39" s="38"/>
      <c r="B39" t="s" s="35">
        <v>22</v>
      </c>
      <c r="C39" s="36"/>
      <c r="D39" s="36"/>
      <c r="E39" s="36"/>
      <c r="F39" s="36"/>
      <c r="G39" s="36"/>
      <c r="H39" s="36"/>
      <c r="I39" s="36"/>
      <c r="J39" s="37"/>
    </row>
    <row r="40" ht="19.5" customHeight="1">
      <c r="A40" s="39"/>
      <c r="B40" s="40"/>
      <c r="C40" s="40"/>
      <c r="D40" s="40"/>
      <c r="E40" s="40"/>
      <c r="F40" s="40"/>
      <c r="G40" s="40"/>
      <c r="H40" s="40"/>
      <c r="I40" s="40"/>
      <c r="J40" s="41"/>
    </row>
  </sheetData>
  <mergeCells count="4">
    <mergeCell ref="A8:J8"/>
    <mergeCell ref="A15:J16"/>
    <mergeCell ref="A19:J25"/>
    <mergeCell ref="A9:J12"/>
  </mergeCells>
  <pageMargins left="0.708661" right="0.708661" top="0.748031" bottom="0.748031" header="0.314961" footer="0.314961"/>
  <pageSetup firstPageNumber="1" fitToHeight="1" fitToWidth="1" scale="90" useFirstPageNumber="0" orientation="portrait" pageOrder="downThenOver"/>
  <headerFooter>
    <oddHeader>&amp;L&amp;"HG丸ｺﾞｼｯｸM-PRO,Regular"&amp;16&amp;K000000表紙】</oddHeader>
    <oddFooter>&amp;C&amp;"ヒラギノ角ゴ ProN W3,Regular"&amp;12&amp;K000000&amp;P</oddFooter>
  </headerFooter>
  <drawing r:id="rId1"/>
</worksheet>
</file>

<file path=xl/worksheets/sheet3.xml><?xml version="1.0" encoding="utf-8"?>
<worksheet xmlns:r="http://schemas.openxmlformats.org/officeDocument/2006/relationships" xmlns="http://schemas.openxmlformats.org/spreadsheetml/2006/main">
  <dimension ref="A1:M143"/>
  <sheetViews>
    <sheetView workbookViewId="0" showGridLines="0" defaultGridColor="1"/>
  </sheetViews>
  <sheetFormatPr defaultColWidth="9" defaultRowHeight="22.5" customHeight="1" outlineLevelRow="0" outlineLevelCol="0"/>
  <cols>
    <col min="1" max="2" width="9" style="42" customWidth="1"/>
    <col min="3" max="3" width="13.5781" style="42" customWidth="1"/>
    <col min="4" max="4" width="10.7344" style="42" customWidth="1"/>
    <col min="5" max="5" width="12" style="42" customWidth="1"/>
    <col min="6" max="6" width="13.5781" style="42" customWidth="1"/>
    <col min="7" max="11" width="9" style="42" customWidth="1"/>
    <col min="12" max="12" width="9.44531" style="42" customWidth="1"/>
    <col min="13" max="13" width="9" style="42" customWidth="1"/>
    <col min="14" max="256" width="9" style="42" customWidth="1"/>
  </cols>
  <sheetData>
    <row r="1" ht="22.5" customHeight="1">
      <c r="A1" t="s" s="43">
        <v>24</v>
      </c>
      <c r="B1" s="8"/>
      <c r="C1" s="8"/>
      <c r="D1" s="8"/>
      <c r="E1" s="8"/>
      <c r="F1" s="8"/>
      <c r="G1" s="8"/>
      <c r="H1" s="8"/>
      <c r="I1" s="8"/>
      <c r="J1" s="8"/>
      <c r="K1" s="8"/>
      <c r="L1" s="8"/>
      <c r="M1" s="9"/>
    </row>
    <row r="2" ht="22.5" customHeight="1">
      <c r="A2" s="10"/>
      <c r="B2" t="s" s="44">
        <v>8</v>
      </c>
      <c r="C2" s="45"/>
      <c r="D2" s="45"/>
      <c r="E2" t="s" s="46">
        <v>25</v>
      </c>
      <c r="F2" s="47"/>
      <c r="G2" s="47"/>
      <c r="H2" s="47"/>
      <c r="I2" s="47"/>
      <c r="J2" s="11"/>
      <c r="K2" s="11"/>
      <c r="L2" s="11"/>
      <c r="M2" s="12"/>
    </row>
    <row r="3" ht="22.5" customHeight="1">
      <c r="A3" s="10"/>
      <c r="B3" s="45"/>
      <c r="C3" s="45"/>
      <c r="D3" s="45"/>
      <c r="E3" s="47"/>
      <c r="F3" s="47"/>
      <c r="G3" s="47"/>
      <c r="H3" s="47"/>
      <c r="I3" s="47"/>
      <c r="J3" s="11"/>
      <c r="K3" s="11"/>
      <c r="L3" s="11"/>
      <c r="M3" s="12"/>
    </row>
    <row r="4" ht="22.5" customHeight="1">
      <c r="A4" s="10"/>
      <c r="B4" s="48"/>
      <c r="C4" s="48"/>
      <c r="D4" s="48"/>
      <c r="E4" s="47"/>
      <c r="F4" s="47"/>
      <c r="G4" s="47"/>
      <c r="H4" s="47"/>
      <c r="I4" s="47"/>
      <c r="J4" s="47"/>
      <c r="K4" s="11"/>
      <c r="L4" s="11"/>
      <c r="M4" s="12"/>
    </row>
    <row r="5" ht="40.5" customHeight="1">
      <c r="A5" t="s" s="49">
        <v>26</v>
      </c>
      <c r="B5" s="11"/>
      <c r="C5" s="11"/>
      <c r="D5" s="11"/>
      <c r="E5" s="11"/>
      <c r="F5" s="11"/>
      <c r="G5" s="11"/>
      <c r="H5" s="11"/>
      <c r="I5" s="11"/>
      <c r="J5" s="11"/>
      <c r="K5" s="11"/>
      <c r="L5" s="11"/>
      <c r="M5" s="12"/>
    </row>
    <row r="6" ht="22.5" customHeight="1">
      <c r="A6" s="50">
        <v>2020</v>
      </c>
      <c r="B6" s="51"/>
      <c r="C6" t="s" s="52">
        <v>27</v>
      </c>
      <c r="D6" s="11"/>
      <c r="E6" s="53">
        <v>3044</v>
      </c>
      <c r="F6" s="53"/>
      <c r="G6" t="s" s="52">
        <v>28</v>
      </c>
      <c r="H6" s="11"/>
      <c r="I6" s="11"/>
      <c r="J6" s="11"/>
      <c r="K6" s="11"/>
      <c r="L6" s="11"/>
      <c r="M6" s="12"/>
    </row>
    <row r="7" ht="22.5" customHeight="1">
      <c r="A7" s="50">
        <v>2010</v>
      </c>
      <c r="B7" s="51"/>
      <c r="C7" t="s" s="52">
        <v>29</v>
      </c>
      <c r="D7" s="54">
        <v>-974</v>
      </c>
      <c r="E7" s="54"/>
      <c r="F7" t="s" s="52">
        <v>30</v>
      </c>
      <c r="G7" s="11"/>
      <c r="H7" s="11"/>
      <c r="I7" s="11"/>
      <c r="J7" s="11"/>
      <c r="K7" s="11"/>
      <c r="L7" s="11"/>
      <c r="M7" s="12"/>
    </row>
    <row r="8" ht="22.5" customHeight="1">
      <c r="A8" t="s" s="55">
        <v>31</v>
      </c>
      <c r="B8" s="56"/>
      <c r="C8" s="54">
        <v>-448</v>
      </c>
      <c r="D8" t="s" s="52">
        <v>32</v>
      </c>
      <c r="E8" s="11"/>
      <c r="F8" s="54">
        <v>-526</v>
      </c>
      <c r="G8" t="s" s="52">
        <v>28</v>
      </c>
      <c r="H8" s="11"/>
      <c r="I8" s="11"/>
      <c r="J8" s="11"/>
      <c r="K8" s="11"/>
      <c r="L8" s="11"/>
      <c r="M8" s="12"/>
    </row>
    <row r="9" ht="22.5" customHeight="1">
      <c r="A9" s="10"/>
      <c r="B9" s="11"/>
      <c r="C9" s="11"/>
      <c r="D9" s="11"/>
      <c r="E9" s="11"/>
      <c r="F9" s="11"/>
      <c r="G9" s="11"/>
      <c r="H9" s="11"/>
      <c r="I9" s="11"/>
      <c r="J9" s="11"/>
      <c r="K9" s="11"/>
      <c r="L9" s="11"/>
      <c r="M9" s="12"/>
    </row>
    <row r="10" ht="22.5" customHeight="1">
      <c r="A10" s="10"/>
      <c r="B10" s="11"/>
      <c r="C10" s="11"/>
      <c r="D10" s="11"/>
      <c r="E10" s="11"/>
      <c r="F10" s="11"/>
      <c r="G10" s="11"/>
      <c r="H10" s="11"/>
      <c r="I10" s="11"/>
      <c r="J10" s="11"/>
      <c r="K10" s="11"/>
      <c r="L10" s="11"/>
      <c r="M10" s="12"/>
    </row>
    <row r="11" ht="22.5" customHeight="1">
      <c r="A11" s="10"/>
      <c r="B11" s="11"/>
      <c r="C11" s="11"/>
      <c r="D11" s="11"/>
      <c r="E11" s="11"/>
      <c r="F11" s="11"/>
      <c r="G11" s="11"/>
      <c r="H11" s="11"/>
      <c r="I11" s="11"/>
      <c r="J11" s="11"/>
      <c r="K11" s="11"/>
      <c r="L11" s="11"/>
      <c r="M11" s="12"/>
    </row>
    <row r="12" ht="22.5" customHeight="1">
      <c r="A12" s="10"/>
      <c r="B12" s="11"/>
      <c r="C12" s="11"/>
      <c r="D12" s="11"/>
      <c r="E12" s="11"/>
      <c r="F12" s="11"/>
      <c r="G12" s="11"/>
      <c r="H12" s="11"/>
      <c r="I12" s="11"/>
      <c r="J12" s="11"/>
      <c r="K12" s="11"/>
      <c r="L12" s="11"/>
      <c r="M12" s="12"/>
    </row>
    <row r="13" ht="22.5" customHeight="1">
      <c r="A13" s="10"/>
      <c r="B13" s="11"/>
      <c r="C13" s="11"/>
      <c r="D13" s="11"/>
      <c r="E13" s="11"/>
      <c r="F13" s="11"/>
      <c r="G13" s="11"/>
      <c r="H13" s="11"/>
      <c r="I13" s="11"/>
      <c r="J13" s="11"/>
      <c r="K13" s="11"/>
      <c r="L13" s="11"/>
      <c r="M13" s="12"/>
    </row>
    <row r="14" ht="22.5" customHeight="1">
      <c r="A14" s="10"/>
      <c r="B14" s="11"/>
      <c r="C14" s="11"/>
      <c r="D14" s="11"/>
      <c r="E14" s="11"/>
      <c r="F14" s="11"/>
      <c r="G14" s="11"/>
      <c r="H14" s="11"/>
      <c r="I14" s="11"/>
      <c r="J14" s="11"/>
      <c r="K14" s="11"/>
      <c r="L14" s="11"/>
      <c r="M14" s="12"/>
    </row>
    <row r="15" ht="22.5" customHeight="1">
      <c r="A15" s="10"/>
      <c r="B15" s="11"/>
      <c r="C15" s="11"/>
      <c r="D15" s="11"/>
      <c r="E15" s="11"/>
      <c r="F15" s="11"/>
      <c r="G15" s="11"/>
      <c r="H15" s="11"/>
      <c r="I15" s="11"/>
      <c r="J15" s="11"/>
      <c r="K15" s="11"/>
      <c r="L15" s="11"/>
      <c r="M15" s="12"/>
    </row>
    <row r="16" ht="22.5" customHeight="1">
      <c r="A16" s="10"/>
      <c r="B16" s="11"/>
      <c r="C16" s="11"/>
      <c r="D16" s="11"/>
      <c r="E16" s="11"/>
      <c r="F16" s="11"/>
      <c r="G16" s="11"/>
      <c r="H16" s="11"/>
      <c r="I16" s="11"/>
      <c r="J16" s="11"/>
      <c r="K16" s="11"/>
      <c r="L16" s="11"/>
      <c r="M16" s="12"/>
    </row>
    <row r="17" ht="22.5" customHeight="1">
      <c r="A17" s="10"/>
      <c r="B17" s="11"/>
      <c r="C17" s="11"/>
      <c r="D17" s="11"/>
      <c r="E17" s="11"/>
      <c r="F17" s="11"/>
      <c r="G17" s="11"/>
      <c r="H17" s="11"/>
      <c r="I17" s="11"/>
      <c r="J17" s="11"/>
      <c r="K17" s="11"/>
      <c r="L17" s="11"/>
      <c r="M17" s="12"/>
    </row>
    <row r="18" ht="22.5" customHeight="1">
      <c r="A18" s="10"/>
      <c r="B18" s="11"/>
      <c r="C18" s="11"/>
      <c r="D18" s="11"/>
      <c r="E18" s="11"/>
      <c r="F18" s="11"/>
      <c r="G18" s="11"/>
      <c r="H18" s="11"/>
      <c r="I18" s="11"/>
      <c r="J18" s="11"/>
      <c r="K18" s="11"/>
      <c r="L18" s="11"/>
      <c r="M18" s="12"/>
    </row>
    <row r="19" ht="22.5" customHeight="1">
      <c r="A19" s="10"/>
      <c r="B19" s="11"/>
      <c r="C19" s="11"/>
      <c r="D19" s="11"/>
      <c r="E19" s="11"/>
      <c r="F19" s="11"/>
      <c r="G19" s="11"/>
      <c r="H19" s="11"/>
      <c r="I19" s="11"/>
      <c r="J19" s="11"/>
      <c r="K19" s="11"/>
      <c r="L19" s="11"/>
      <c r="M19" s="12"/>
    </row>
    <row r="20" ht="22.5" customHeight="1">
      <c r="A20" s="10"/>
      <c r="B20" s="11"/>
      <c r="C20" s="11"/>
      <c r="D20" s="11"/>
      <c r="E20" s="11"/>
      <c r="F20" s="11"/>
      <c r="G20" s="11"/>
      <c r="H20" s="11"/>
      <c r="I20" s="11"/>
      <c r="J20" s="11"/>
      <c r="K20" s="11"/>
      <c r="L20" s="11"/>
      <c r="M20" s="12"/>
    </row>
    <row r="21" ht="22.5" customHeight="1">
      <c r="A21" s="10"/>
      <c r="B21" s="11"/>
      <c r="C21" s="11"/>
      <c r="D21" s="11"/>
      <c r="E21" s="11"/>
      <c r="F21" s="11"/>
      <c r="G21" s="11"/>
      <c r="H21" s="11"/>
      <c r="I21" s="11"/>
      <c r="J21" s="11"/>
      <c r="K21" s="11"/>
      <c r="L21" s="11"/>
      <c r="M21" s="12"/>
    </row>
    <row r="22" ht="22.5" customHeight="1">
      <c r="A22" s="10"/>
      <c r="B22" s="11"/>
      <c r="C22" s="11"/>
      <c r="D22" s="11"/>
      <c r="E22" s="11"/>
      <c r="F22" s="11"/>
      <c r="G22" s="57">
        <v>15</v>
      </c>
      <c r="H22" s="11"/>
      <c r="I22" s="11"/>
      <c r="J22" s="11"/>
      <c r="K22" s="11"/>
      <c r="L22" s="11"/>
      <c r="M22" s="12"/>
    </row>
    <row r="23" ht="22.5" customHeight="1">
      <c r="A23" s="10"/>
      <c r="B23" s="11"/>
      <c r="C23" s="11"/>
      <c r="D23" s="11"/>
      <c r="E23" s="11"/>
      <c r="F23" s="11"/>
      <c r="G23" s="11"/>
      <c r="H23" s="11"/>
      <c r="I23" s="11"/>
      <c r="J23" s="11"/>
      <c r="K23" s="11"/>
      <c r="L23" s="11"/>
      <c r="M23" s="12"/>
    </row>
    <row r="24" ht="22.5" customHeight="1">
      <c r="A24" s="10"/>
      <c r="B24" s="11"/>
      <c r="C24" s="11"/>
      <c r="D24" s="11"/>
      <c r="E24" s="11"/>
      <c r="F24" s="11"/>
      <c r="G24" s="11"/>
      <c r="H24" s="11"/>
      <c r="I24" s="11"/>
      <c r="J24" s="11"/>
      <c r="K24" s="11"/>
      <c r="L24" s="11"/>
      <c r="M24" s="12"/>
    </row>
    <row r="25" ht="22.5" customHeight="1">
      <c r="A25" s="10"/>
      <c r="B25" s="11"/>
      <c r="C25" s="11"/>
      <c r="D25" s="11"/>
      <c r="E25" s="11"/>
      <c r="F25" s="11"/>
      <c r="G25" s="11"/>
      <c r="H25" s="11"/>
      <c r="I25" s="11"/>
      <c r="J25" s="11"/>
      <c r="K25" s="11"/>
      <c r="L25" s="11"/>
      <c r="M25" s="12"/>
    </row>
    <row r="26" ht="22.5" customHeight="1">
      <c r="A26" s="28"/>
      <c r="B26" s="29"/>
      <c r="C26" s="29"/>
      <c r="D26" s="29"/>
      <c r="E26" s="29"/>
      <c r="F26" s="29"/>
      <c r="G26" s="29"/>
      <c r="H26" s="29"/>
      <c r="I26" s="29"/>
      <c r="J26" s="11"/>
      <c r="K26" s="11"/>
      <c r="L26" s="11"/>
      <c r="M26" s="12"/>
    </row>
    <row r="27" ht="22.5" customHeight="1">
      <c r="A27" t="s" s="31">
        <v>33</v>
      </c>
      <c r="B27" s="58"/>
      <c r="C27" s="58"/>
      <c r="D27" s="58"/>
      <c r="E27" s="58"/>
      <c r="F27" s="58"/>
      <c r="G27" s="58"/>
      <c r="H27" s="58"/>
      <c r="I27" s="59"/>
      <c r="J27" s="60"/>
      <c r="K27" s="11"/>
      <c r="L27" s="11"/>
      <c r="M27" s="12"/>
    </row>
    <row r="28" ht="22.5" customHeight="1">
      <c r="A28" s="60"/>
      <c r="B28" s="11"/>
      <c r="C28" s="11"/>
      <c r="D28" s="11"/>
      <c r="E28" s="11"/>
      <c r="F28" s="11"/>
      <c r="G28" s="11"/>
      <c r="H28" s="11"/>
      <c r="I28" s="61"/>
      <c r="J28" s="60"/>
      <c r="K28" s="11"/>
      <c r="L28" s="11"/>
      <c r="M28" s="12"/>
    </row>
    <row r="29" ht="22.5" customHeight="1">
      <c r="A29" s="60"/>
      <c r="B29" s="11"/>
      <c r="C29" s="11"/>
      <c r="D29" s="11"/>
      <c r="E29" s="11"/>
      <c r="F29" s="11"/>
      <c r="G29" s="11"/>
      <c r="H29" s="11"/>
      <c r="I29" s="61"/>
      <c r="J29" s="60"/>
      <c r="K29" s="11"/>
      <c r="L29" s="11"/>
      <c r="M29" s="12"/>
    </row>
    <row r="30" ht="22.5" customHeight="1">
      <c r="A30" s="60"/>
      <c r="B30" s="11"/>
      <c r="C30" s="11"/>
      <c r="D30" s="11"/>
      <c r="E30" s="11"/>
      <c r="F30" s="11"/>
      <c r="G30" s="11"/>
      <c r="H30" s="11"/>
      <c r="I30" s="61"/>
      <c r="J30" s="60"/>
      <c r="K30" s="11"/>
      <c r="L30" s="11"/>
      <c r="M30" s="12"/>
    </row>
    <row r="31" ht="22.5" customHeight="1">
      <c r="A31" s="60"/>
      <c r="B31" s="11"/>
      <c r="C31" s="11"/>
      <c r="D31" s="11"/>
      <c r="E31" s="11"/>
      <c r="F31" s="11"/>
      <c r="G31" s="11"/>
      <c r="H31" s="11"/>
      <c r="I31" s="61"/>
      <c r="J31" s="60"/>
      <c r="K31" s="11"/>
      <c r="L31" s="11"/>
      <c r="M31" s="12"/>
    </row>
    <row r="32" ht="22.5" customHeight="1">
      <c r="A32" s="60"/>
      <c r="B32" s="11"/>
      <c r="C32" s="11"/>
      <c r="D32" s="11"/>
      <c r="E32" s="11"/>
      <c r="F32" s="11"/>
      <c r="G32" s="11"/>
      <c r="H32" s="11"/>
      <c r="I32" s="61"/>
      <c r="J32" s="60"/>
      <c r="K32" s="11"/>
      <c r="L32" s="11"/>
      <c r="M32" s="12"/>
    </row>
    <row r="33" ht="22.5" customHeight="1">
      <c r="A33" s="60"/>
      <c r="B33" s="11"/>
      <c r="C33" s="11"/>
      <c r="D33" s="11"/>
      <c r="E33" s="11"/>
      <c r="F33" s="11"/>
      <c r="G33" s="11"/>
      <c r="H33" s="11"/>
      <c r="I33" s="61"/>
      <c r="J33" s="60"/>
      <c r="K33" s="11"/>
      <c r="L33" s="11"/>
      <c r="M33" s="12"/>
    </row>
    <row r="34" ht="22.5" customHeight="1">
      <c r="A34" s="62"/>
      <c r="B34" s="29"/>
      <c r="C34" s="29"/>
      <c r="D34" s="29"/>
      <c r="E34" s="29"/>
      <c r="F34" s="29"/>
      <c r="G34" s="29"/>
      <c r="H34" s="29"/>
      <c r="I34" s="63"/>
      <c r="J34" s="60"/>
      <c r="K34" s="11"/>
      <c r="L34" s="11"/>
      <c r="M34" s="12"/>
    </row>
    <row r="35" ht="40.5" customHeight="1">
      <c r="A35" t="s" s="64">
        <v>34</v>
      </c>
      <c r="B35" s="58"/>
      <c r="C35" s="58"/>
      <c r="D35" s="58"/>
      <c r="E35" s="58"/>
      <c r="F35" s="58"/>
      <c r="G35" s="58"/>
      <c r="H35" s="58"/>
      <c r="I35" s="58"/>
      <c r="J35" s="11"/>
      <c r="K35" s="11"/>
      <c r="L35" s="11"/>
      <c r="M35" s="12"/>
    </row>
    <row r="36" ht="22.5" customHeight="1">
      <c r="A36" t="s" s="65">
        <v>35</v>
      </c>
      <c r="B36" s="11"/>
      <c r="C36" s="11"/>
      <c r="D36" s="11"/>
      <c r="E36" s="66"/>
      <c r="F36" s="53">
        <v>96</v>
      </c>
      <c r="G36" s="53"/>
      <c r="H36" t="s" s="52">
        <v>28</v>
      </c>
      <c r="I36" s="11"/>
      <c r="J36" s="11"/>
      <c r="K36" s="11"/>
      <c r="L36" s="11"/>
      <c r="M36" s="12"/>
    </row>
    <row r="37" ht="22.5" customHeight="1">
      <c r="A37" t="s" s="65">
        <v>36</v>
      </c>
      <c r="B37" s="11"/>
      <c r="C37" s="11"/>
      <c r="D37" s="11"/>
      <c r="E37" s="11"/>
      <c r="F37" s="53">
        <v>51</v>
      </c>
      <c r="G37" s="53"/>
      <c r="H37" t="s" s="52">
        <v>28</v>
      </c>
      <c r="I37" s="11"/>
      <c r="J37" s="11"/>
      <c r="K37" s="11"/>
      <c r="L37" s="11"/>
      <c r="M37" s="12"/>
    </row>
    <row r="38" ht="22.5" customHeight="1">
      <c r="A38" s="10"/>
      <c r="B38" s="11"/>
      <c r="C38" s="11"/>
      <c r="D38" s="67"/>
      <c r="E38" s="67"/>
      <c r="F38" s="47"/>
      <c r="G38" s="66"/>
      <c r="H38" s="11"/>
      <c r="I38" s="11"/>
      <c r="J38" s="11"/>
      <c r="K38" s="11"/>
      <c r="L38" s="11"/>
      <c r="M38" s="12"/>
    </row>
    <row r="39" ht="22.5" customHeight="1">
      <c r="A39" s="50">
        <v>2010</v>
      </c>
      <c r="B39" s="51"/>
      <c r="C39" t="s" s="52">
        <v>37</v>
      </c>
      <c r="D39" s="11"/>
      <c r="E39" s="66"/>
      <c r="F39" s="47"/>
      <c r="G39" s="11"/>
      <c r="H39" s="11"/>
      <c r="I39" s="11"/>
      <c r="J39" s="11"/>
      <c r="K39" s="11"/>
      <c r="L39" s="11"/>
      <c r="M39" s="12"/>
    </row>
    <row r="40" ht="22.5" customHeight="1">
      <c r="A40" s="10"/>
      <c r="B40" t="s" s="52">
        <v>38</v>
      </c>
      <c r="C40" s="11"/>
      <c r="D40" s="54">
        <v>-26</v>
      </c>
      <c r="E40" s="54"/>
      <c r="F40" t="s" s="52">
        <v>39</v>
      </c>
      <c r="G40" s="11"/>
      <c r="H40" s="11"/>
      <c r="I40" s="11"/>
      <c r="J40" s="11"/>
      <c r="K40" s="11"/>
      <c r="L40" s="11"/>
      <c r="M40" s="12"/>
    </row>
    <row r="41" ht="22.5" customHeight="1">
      <c r="A41" s="10"/>
      <c r="B41" t="s" s="52">
        <v>40</v>
      </c>
      <c r="C41" s="11"/>
      <c r="D41" s="54">
        <v>-25</v>
      </c>
      <c r="E41" s="54"/>
      <c r="F41" t="s" s="52">
        <v>30</v>
      </c>
      <c r="G41" s="11"/>
      <c r="H41" s="11"/>
      <c r="I41" s="11"/>
      <c r="J41" s="11"/>
      <c r="K41" s="11"/>
      <c r="L41" s="11"/>
      <c r="M41" s="12"/>
    </row>
    <row r="42" ht="22.5" customHeight="1">
      <c r="A42" s="10"/>
      <c r="B42" s="11"/>
      <c r="C42" s="11"/>
      <c r="D42" s="11"/>
      <c r="E42" s="11"/>
      <c r="F42" s="11"/>
      <c r="G42" s="11"/>
      <c r="H42" s="11"/>
      <c r="I42" s="11"/>
      <c r="J42" s="11"/>
      <c r="K42" s="11"/>
      <c r="L42" s="11"/>
      <c r="M42" s="12"/>
    </row>
    <row r="43" ht="22.5" customHeight="1">
      <c r="A43" s="10"/>
      <c r="B43" s="11"/>
      <c r="C43" s="11"/>
      <c r="D43" s="11"/>
      <c r="E43" s="11"/>
      <c r="F43" s="11"/>
      <c r="G43" s="11"/>
      <c r="H43" s="11"/>
      <c r="I43" s="11"/>
      <c r="J43" s="11"/>
      <c r="K43" s="11"/>
      <c r="L43" s="11"/>
      <c r="M43" s="12"/>
    </row>
    <row r="44" ht="22.5" customHeight="1">
      <c r="A44" s="10"/>
      <c r="B44" s="11"/>
      <c r="C44" s="11"/>
      <c r="D44" s="11"/>
      <c r="E44" s="11"/>
      <c r="F44" s="11"/>
      <c r="G44" s="11"/>
      <c r="H44" s="11"/>
      <c r="I44" s="11"/>
      <c r="J44" s="11"/>
      <c r="K44" s="11"/>
      <c r="L44" s="11"/>
      <c r="M44" s="12"/>
    </row>
    <row r="45" ht="22.5" customHeight="1">
      <c r="A45" s="10"/>
      <c r="B45" s="11"/>
      <c r="C45" s="11"/>
      <c r="D45" s="11"/>
      <c r="E45" s="11"/>
      <c r="F45" s="11"/>
      <c r="G45" s="11"/>
      <c r="H45" s="11"/>
      <c r="I45" s="11"/>
      <c r="J45" s="11"/>
      <c r="K45" s="11"/>
      <c r="L45" s="11"/>
      <c r="M45" s="12"/>
    </row>
    <row r="46" ht="22.5" customHeight="1">
      <c r="A46" s="10"/>
      <c r="B46" s="11"/>
      <c r="C46" s="11"/>
      <c r="D46" s="11"/>
      <c r="E46" s="11"/>
      <c r="F46" s="11"/>
      <c r="G46" s="11"/>
      <c r="H46" s="11"/>
      <c r="I46" s="11"/>
      <c r="J46" s="11"/>
      <c r="K46" s="11"/>
      <c r="L46" s="11"/>
      <c r="M46" s="12"/>
    </row>
    <row r="47" ht="22.5" customHeight="1">
      <c r="A47" s="10"/>
      <c r="B47" s="11"/>
      <c r="C47" s="11"/>
      <c r="D47" s="11"/>
      <c r="E47" s="11"/>
      <c r="F47" s="11"/>
      <c r="G47" s="11"/>
      <c r="H47" s="11"/>
      <c r="I47" s="11"/>
      <c r="J47" s="11"/>
      <c r="K47" s="11"/>
      <c r="L47" s="11"/>
      <c r="M47" s="12"/>
    </row>
    <row r="48" ht="22.5" customHeight="1">
      <c r="A48" s="10"/>
      <c r="B48" s="11"/>
      <c r="C48" s="11"/>
      <c r="D48" s="11"/>
      <c r="E48" s="11"/>
      <c r="F48" s="11"/>
      <c r="G48" s="11"/>
      <c r="H48" s="11"/>
      <c r="I48" s="11"/>
      <c r="J48" s="11"/>
      <c r="K48" s="11"/>
      <c r="L48" s="11"/>
      <c r="M48" s="12"/>
    </row>
    <row r="49" ht="22.5" customHeight="1">
      <c r="A49" s="10"/>
      <c r="B49" s="11"/>
      <c r="C49" s="11"/>
      <c r="D49" s="11"/>
      <c r="E49" s="11"/>
      <c r="F49" s="11"/>
      <c r="G49" s="11"/>
      <c r="H49" s="11"/>
      <c r="I49" s="11"/>
      <c r="J49" s="11"/>
      <c r="K49" s="11"/>
      <c r="L49" s="11"/>
      <c r="M49" s="12"/>
    </row>
    <row r="50" ht="22.5" customHeight="1">
      <c r="A50" s="10"/>
      <c r="B50" s="11"/>
      <c r="C50" s="11"/>
      <c r="D50" s="11"/>
      <c r="E50" s="11"/>
      <c r="F50" s="11"/>
      <c r="G50" s="11"/>
      <c r="H50" s="11"/>
      <c r="I50" s="11"/>
      <c r="J50" s="11"/>
      <c r="K50" s="11"/>
      <c r="L50" s="11"/>
      <c r="M50" s="12"/>
    </row>
    <row r="51" ht="22.5" customHeight="1">
      <c r="A51" s="10"/>
      <c r="B51" s="11"/>
      <c r="C51" s="11"/>
      <c r="D51" s="11"/>
      <c r="E51" s="11"/>
      <c r="F51" s="11"/>
      <c r="G51" s="11"/>
      <c r="H51" s="11"/>
      <c r="I51" s="11"/>
      <c r="J51" s="11"/>
      <c r="K51" s="11"/>
      <c r="L51" s="11"/>
      <c r="M51" s="12"/>
    </row>
    <row r="52" ht="22.5" customHeight="1">
      <c r="A52" s="10"/>
      <c r="B52" s="11"/>
      <c r="C52" s="11"/>
      <c r="D52" s="11"/>
      <c r="E52" s="11"/>
      <c r="F52" s="11"/>
      <c r="G52" s="11"/>
      <c r="H52" s="11"/>
      <c r="I52" s="11"/>
      <c r="J52" s="11"/>
      <c r="K52" s="11"/>
      <c r="L52" s="11"/>
      <c r="M52" s="12"/>
    </row>
    <row r="53" ht="22.5" customHeight="1">
      <c r="A53" s="10"/>
      <c r="B53" s="11"/>
      <c r="C53" s="11"/>
      <c r="D53" s="11"/>
      <c r="E53" s="11"/>
      <c r="F53" s="11"/>
      <c r="G53" s="11"/>
      <c r="H53" s="11"/>
      <c r="I53" s="11"/>
      <c r="J53" s="11"/>
      <c r="K53" s="11"/>
      <c r="L53" s="11"/>
      <c r="M53" s="68"/>
    </row>
    <row r="54" ht="22.5" customHeight="1">
      <c r="A54" s="10"/>
      <c r="B54" s="11"/>
      <c r="C54" s="11"/>
      <c r="D54" s="11"/>
      <c r="E54" s="11"/>
      <c r="F54" s="11"/>
      <c r="G54" s="11"/>
      <c r="H54" s="11"/>
      <c r="I54" s="11"/>
      <c r="J54" s="11"/>
      <c r="K54" s="11"/>
      <c r="L54" s="11"/>
      <c r="M54" s="12"/>
    </row>
    <row r="55" ht="22.5" customHeight="1">
      <c r="A55" s="10"/>
      <c r="B55" s="11"/>
      <c r="C55" s="11"/>
      <c r="D55" s="11"/>
      <c r="E55" s="11"/>
      <c r="F55" s="11"/>
      <c r="G55" s="11"/>
      <c r="H55" s="11"/>
      <c r="I55" s="11"/>
      <c r="J55" s="11"/>
      <c r="K55" s="11"/>
      <c r="L55" s="11"/>
      <c r="M55" s="12"/>
    </row>
    <row r="56" ht="22.5" customHeight="1">
      <c r="A56" s="10"/>
      <c r="B56" s="11"/>
      <c r="C56" s="11"/>
      <c r="D56" s="11"/>
      <c r="E56" s="11"/>
      <c r="F56" s="11"/>
      <c r="G56" s="11"/>
      <c r="H56" s="11"/>
      <c r="I56" s="11"/>
      <c r="J56" s="11"/>
      <c r="K56" s="11"/>
      <c r="L56" s="11"/>
      <c r="M56" s="12"/>
    </row>
    <row r="57" ht="22.5" customHeight="1">
      <c r="A57" s="10"/>
      <c r="B57" s="11"/>
      <c r="C57" s="11"/>
      <c r="D57" s="11"/>
      <c r="E57" s="11"/>
      <c r="F57" s="11"/>
      <c r="G57" s="11"/>
      <c r="H57" s="11"/>
      <c r="I57" s="11"/>
      <c r="J57" s="11"/>
      <c r="K57" s="11"/>
      <c r="L57" s="11"/>
      <c r="M57" s="12"/>
    </row>
    <row r="58" ht="22.5" customHeight="1">
      <c r="A58" s="10"/>
      <c r="B58" s="11"/>
      <c r="C58" s="11"/>
      <c r="D58" s="11"/>
      <c r="E58" s="11"/>
      <c r="F58" s="11"/>
      <c r="G58" s="11"/>
      <c r="H58" s="11"/>
      <c r="I58" s="11"/>
      <c r="J58" s="11"/>
      <c r="K58" s="11"/>
      <c r="L58" s="11"/>
      <c r="M58" s="12"/>
    </row>
    <row r="59" ht="22.5" customHeight="1">
      <c r="A59" s="10"/>
      <c r="B59" s="11"/>
      <c r="C59" s="11"/>
      <c r="D59" s="11"/>
      <c r="E59" s="11"/>
      <c r="F59" s="11"/>
      <c r="G59" s="11"/>
      <c r="H59" s="11"/>
      <c r="I59" s="11"/>
      <c r="J59" s="11"/>
      <c r="K59" s="11"/>
      <c r="L59" s="11"/>
      <c r="M59" s="12"/>
    </row>
    <row r="60" ht="22.5" customHeight="1">
      <c r="A60" s="10"/>
      <c r="B60" s="11"/>
      <c r="C60" s="11"/>
      <c r="D60" s="11"/>
      <c r="E60" s="11"/>
      <c r="F60" s="11"/>
      <c r="G60" s="11"/>
      <c r="H60" s="11"/>
      <c r="I60" s="11"/>
      <c r="J60" s="11"/>
      <c r="K60" s="11"/>
      <c r="L60" s="11"/>
      <c r="M60" s="12"/>
    </row>
    <row r="61" ht="22.5" customHeight="1">
      <c r="A61" s="10"/>
      <c r="B61" s="11"/>
      <c r="C61" s="11"/>
      <c r="D61" s="11"/>
      <c r="E61" s="11"/>
      <c r="F61" s="11"/>
      <c r="G61" s="11"/>
      <c r="H61" s="11"/>
      <c r="I61" s="11"/>
      <c r="J61" s="11"/>
      <c r="K61" s="11"/>
      <c r="L61" s="11"/>
      <c r="M61" s="12"/>
    </row>
    <row r="62" ht="22.5" customHeight="1">
      <c r="A62" s="28"/>
      <c r="B62" s="29"/>
      <c r="C62" s="29"/>
      <c r="D62" s="29"/>
      <c r="E62" s="29"/>
      <c r="F62" s="29"/>
      <c r="G62" s="29"/>
      <c r="H62" s="29"/>
      <c r="I62" s="29"/>
      <c r="J62" s="11"/>
      <c r="K62" s="11"/>
      <c r="L62" s="11"/>
      <c r="M62" s="12"/>
    </row>
    <row r="63" ht="22.5" customHeight="1">
      <c r="A63" t="s" s="69">
        <v>41</v>
      </c>
      <c r="B63" s="58"/>
      <c r="C63" s="58"/>
      <c r="D63" s="58"/>
      <c r="E63" s="58"/>
      <c r="F63" s="58"/>
      <c r="G63" s="58"/>
      <c r="H63" s="58"/>
      <c r="I63" s="59"/>
      <c r="J63" s="60"/>
      <c r="K63" s="11"/>
      <c r="L63" s="11"/>
      <c r="M63" s="12"/>
    </row>
    <row r="64" ht="22.5" customHeight="1">
      <c r="A64" s="38"/>
      <c r="B64" s="11"/>
      <c r="C64" s="11"/>
      <c r="D64" s="11"/>
      <c r="E64" s="11"/>
      <c r="F64" s="11"/>
      <c r="G64" s="11"/>
      <c r="H64" s="11"/>
      <c r="I64" s="61"/>
      <c r="J64" s="60"/>
      <c r="K64" s="11"/>
      <c r="L64" s="11"/>
      <c r="M64" s="12"/>
    </row>
    <row r="65" ht="22.5" customHeight="1">
      <c r="A65" s="38"/>
      <c r="B65" s="11"/>
      <c r="C65" s="11"/>
      <c r="D65" s="11"/>
      <c r="E65" s="11"/>
      <c r="F65" s="11"/>
      <c r="G65" s="11"/>
      <c r="H65" s="11"/>
      <c r="I65" s="61"/>
      <c r="J65" s="60"/>
      <c r="K65" s="11"/>
      <c r="L65" s="11"/>
      <c r="M65" s="12"/>
    </row>
    <row r="66" ht="22.5" customHeight="1">
      <c r="A66" s="60"/>
      <c r="B66" s="11"/>
      <c r="C66" s="11"/>
      <c r="D66" s="11"/>
      <c r="E66" s="11"/>
      <c r="F66" s="11"/>
      <c r="G66" s="11"/>
      <c r="H66" s="11"/>
      <c r="I66" s="61"/>
      <c r="J66" s="60"/>
      <c r="K66" s="11"/>
      <c r="L66" s="11"/>
      <c r="M66" s="12"/>
    </row>
    <row r="67" ht="22.5" customHeight="1">
      <c r="A67" s="60"/>
      <c r="B67" s="11"/>
      <c r="C67" s="11"/>
      <c r="D67" s="11"/>
      <c r="E67" s="11"/>
      <c r="F67" s="11"/>
      <c r="G67" s="11"/>
      <c r="H67" s="11"/>
      <c r="I67" s="61"/>
      <c r="J67" s="60"/>
      <c r="K67" s="11"/>
      <c r="L67" s="11"/>
      <c r="M67" s="12"/>
    </row>
    <row r="68" ht="22.5" customHeight="1">
      <c r="A68" s="62"/>
      <c r="B68" s="29"/>
      <c r="C68" s="29"/>
      <c r="D68" s="29"/>
      <c r="E68" s="29"/>
      <c r="F68" s="29"/>
      <c r="G68" s="29"/>
      <c r="H68" s="29"/>
      <c r="I68" s="63"/>
      <c r="J68" s="60"/>
      <c r="K68" s="11"/>
      <c r="L68" s="11"/>
      <c r="M68" s="12"/>
    </row>
    <row r="69" ht="40.5" customHeight="1">
      <c r="A69" t="s" s="64">
        <v>42</v>
      </c>
      <c r="B69" s="58"/>
      <c r="C69" s="58"/>
      <c r="D69" s="58"/>
      <c r="E69" s="58"/>
      <c r="F69" s="58"/>
      <c r="G69" s="58"/>
      <c r="H69" s="58"/>
      <c r="I69" s="58"/>
      <c r="J69" s="11"/>
      <c r="K69" s="11"/>
      <c r="L69" s="11"/>
      <c r="M69" s="12"/>
    </row>
    <row r="70" ht="22.5" customHeight="1">
      <c r="A70" t="s" s="65">
        <v>43</v>
      </c>
      <c r="B70" s="11"/>
      <c r="C70" s="53">
        <v>1517</v>
      </c>
      <c r="D70" s="53"/>
      <c r="E70" t="s" s="52">
        <v>44</v>
      </c>
      <c r="F70" s="70"/>
      <c r="G70" s="71">
        <v>0.5</v>
      </c>
      <c r="H70" s="71"/>
      <c r="I70" t="s" s="52">
        <v>45</v>
      </c>
      <c r="J70" s="11"/>
      <c r="K70" s="11"/>
      <c r="L70" s="11"/>
      <c r="M70" s="12"/>
    </row>
    <row r="71" ht="22.5" customHeight="1">
      <c r="A71" t="s" s="65">
        <v>46</v>
      </c>
      <c r="B71" s="11"/>
      <c r="C71" s="53">
        <v>845</v>
      </c>
      <c r="D71" s="53"/>
      <c r="E71" t="s" s="52">
        <v>44</v>
      </c>
      <c r="F71" s="70"/>
      <c r="G71" s="71">
        <v>0.28</v>
      </c>
      <c r="H71" s="71"/>
      <c r="I71" t="s" s="52">
        <v>45</v>
      </c>
      <c r="J71" s="11"/>
      <c r="K71" s="11"/>
      <c r="L71" s="11"/>
      <c r="M71" s="12"/>
    </row>
    <row r="72" ht="22.5" customHeight="1">
      <c r="A72" s="10"/>
      <c r="B72" s="11"/>
      <c r="C72" s="11"/>
      <c r="D72" s="67"/>
      <c r="E72" s="67"/>
      <c r="F72" s="47"/>
      <c r="G72" s="66"/>
      <c r="H72" s="11"/>
      <c r="I72" s="11"/>
      <c r="J72" s="11"/>
      <c r="K72" s="11"/>
      <c r="L72" s="11"/>
      <c r="M72" s="12"/>
    </row>
    <row r="73" ht="22.5" customHeight="1">
      <c r="A73" s="50">
        <v>2010</v>
      </c>
      <c r="B73" s="51"/>
      <c r="C73" t="s" s="52">
        <v>37</v>
      </c>
      <c r="D73" s="11"/>
      <c r="E73" s="66"/>
      <c r="F73" s="47"/>
      <c r="G73" s="11"/>
      <c r="H73" s="11"/>
      <c r="I73" s="11"/>
      <c r="J73" s="11"/>
      <c r="K73" s="11"/>
      <c r="L73" s="11"/>
      <c r="M73" s="12"/>
    </row>
    <row r="74" ht="22.5" customHeight="1">
      <c r="A74" s="10"/>
      <c r="B74" t="s" s="52">
        <v>47</v>
      </c>
      <c r="C74" s="11"/>
      <c r="D74" s="70"/>
      <c r="E74" t="s" s="72">
        <v>48</v>
      </c>
      <c r="F74" s="53"/>
      <c r="G74" s="53"/>
      <c r="H74" t="s" s="52">
        <v>45</v>
      </c>
      <c r="I74" s="11"/>
      <c r="J74" s="11"/>
      <c r="K74" s="11"/>
      <c r="L74" s="11"/>
      <c r="M74" s="12"/>
    </row>
    <row r="75" ht="22.5" customHeight="1">
      <c r="A75" s="10"/>
      <c r="B75" t="s" s="52">
        <v>49</v>
      </c>
      <c r="C75" s="11"/>
      <c r="D75" s="70"/>
      <c r="E75" t="s" s="72">
        <v>50</v>
      </c>
      <c r="F75" s="73"/>
      <c r="G75" s="73"/>
      <c r="H75" t="s" s="52">
        <v>45</v>
      </c>
      <c r="I75" s="11"/>
      <c r="J75" s="11"/>
      <c r="K75" s="11"/>
      <c r="L75" s="11"/>
      <c r="M75" s="12"/>
    </row>
    <row r="76" ht="22.5" customHeight="1">
      <c r="A76" s="10"/>
      <c r="B76" s="11"/>
      <c r="C76" s="11"/>
      <c r="D76" s="11"/>
      <c r="E76" s="11"/>
      <c r="F76" s="11"/>
      <c r="G76" s="11"/>
      <c r="H76" s="11"/>
      <c r="I76" s="11"/>
      <c r="J76" s="11"/>
      <c r="K76" s="11"/>
      <c r="L76" s="11"/>
      <c r="M76" s="12"/>
    </row>
    <row r="77" ht="22.5" customHeight="1">
      <c r="A77" s="10"/>
      <c r="B77" s="11"/>
      <c r="C77" s="11"/>
      <c r="D77" s="11"/>
      <c r="E77" s="11"/>
      <c r="F77" s="11"/>
      <c r="G77" s="11"/>
      <c r="H77" s="11"/>
      <c r="I77" s="11"/>
      <c r="J77" s="11"/>
      <c r="K77" s="11"/>
      <c r="L77" s="11"/>
      <c r="M77" s="12"/>
    </row>
    <row r="78" ht="22.5" customHeight="1">
      <c r="A78" s="10"/>
      <c r="B78" s="11"/>
      <c r="C78" s="11"/>
      <c r="D78" s="11"/>
      <c r="E78" s="11"/>
      <c r="F78" s="11"/>
      <c r="G78" s="11"/>
      <c r="H78" s="11"/>
      <c r="I78" s="11"/>
      <c r="J78" s="11"/>
      <c r="K78" s="11"/>
      <c r="L78" s="11"/>
      <c r="M78" s="12"/>
    </row>
    <row r="79" ht="22.5" customHeight="1">
      <c r="A79" s="10"/>
      <c r="B79" s="11"/>
      <c r="C79" s="11"/>
      <c r="D79" s="11"/>
      <c r="E79" s="11"/>
      <c r="F79" s="11"/>
      <c r="G79" s="11"/>
      <c r="H79" s="11"/>
      <c r="I79" s="11"/>
      <c r="J79" s="11"/>
      <c r="K79" s="11"/>
      <c r="L79" s="11"/>
      <c r="M79" s="12"/>
    </row>
    <row r="80" ht="22.5" customHeight="1">
      <c r="A80" s="10"/>
      <c r="B80" s="11"/>
      <c r="C80" s="11"/>
      <c r="D80" s="11"/>
      <c r="E80" s="11"/>
      <c r="F80" s="11"/>
      <c r="G80" s="11"/>
      <c r="H80" s="11"/>
      <c r="I80" s="11"/>
      <c r="J80" s="11"/>
      <c r="K80" s="11"/>
      <c r="L80" s="11"/>
      <c r="M80" s="12"/>
    </row>
    <row r="81" ht="22.5" customHeight="1">
      <c r="A81" s="10"/>
      <c r="B81" s="11"/>
      <c r="C81" s="11"/>
      <c r="D81" s="11"/>
      <c r="E81" s="11"/>
      <c r="F81" s="11"/>
      <c r="G81" s="11"/>
      <c r="H81" s="11"/>
      <c r="I81" s="11"/>
      <c r="J81" s="11"/>
      <c r="K81" s="11"/>
      <c r="L81" s="11"/>
      <c r="M81" s="12"/>
    </row>
    <row r="82" ht="22.5" customHeight="1">
      <c r="A82" s="10"/>
      <c r="B82" s="11"/>
      <c r="C82" s="11"/>
      <c r="D82" s="11"/>
      <c r="E82" s="11"/>
      <c r="F82" s="11"/>
      <c r="G82" s="11"/>
      <c r="H82" s="11"/>
      <c r="I82" s="11"/>
      <c r="J82" s="11"/>
      <c r="K82" s="11"/>
      <c r="L82" s="11"/>
      <c r="M82" s="12"/>
    </row>
    <row r="83" ht="22.5" customHeight="1">
      <c r="A83" s="10"/>
      <c r="B83" s="11"/>
      <c r="C83" s="11"/>
      <c r="D83" s="11"/>
      <c r="E83" s="11"/>
      <c r="F83" s="11"/>
      <c r="G83" s="11"/>
      <c r="H83" s="11"/>
      <c r="I83" s="11"/>
      <c r="J83" s="11"/>
      <c r="K83" s="11"/>
      <c r="L83" s="11"/>
      <c r="M83" s="12"/>
    </row>
    <row r="84" ht="22.5" customHeight="1">
      <c r="A84" s="10"/>
      <c r="B84" s="11"/>
      <c r="C84" s="11"/>
      <c r="D84" s="11"/>
      <c r="E84" s="11"/>
      <c r="F84" s="11"/>
      <c r="G84" s="11"/>
      <c r="H84" s="11"/>
      <c r="I84" s="11"/>
      <c r="J84" s="11"/>
      <c r="K84" s="11"/>
      <c r="L84" s="11"/>
      <c r="M84" s="12"/>
    </row>
    <row r="85" ht="22.5" customHeight="1">
      <c r="A85" s="10"/>
      <c r="B85" s="11"/>
      <c r="C85" s="11"/>
      <c r="D85" s="11"/>
      <c r="E85" s="11"/>
      <c r="F85" s="11"/>
      <c r="G85" s="11"/>
      <c r="H85" s="11"/>
      <c r="I85" s="11"/>
      <c r="J85" s="11"/>
      <c r="K85" s="11"/>
      <c r="L85" s="11"/>
      <c r="M85" s="12"/>
    </row>
    <row r="86" ht="22.5" customHeight="1">
      <c r="A86" s="10"/>
      <c r="B86" s="11"/>
      <c r="C86" s="11"/>
      <c r="D86" s="11"/>
      <c r="E86" s="11"/>
      <c r="F86" s="11"/>
      <c r="G86" s="11"/>
      <c r="H86" s="11"/>
      <c r="I86" s="11"/>
      <c r="J86" s="11"/>
      <c r="K86" s="11"/>
      <c r="L86" s="11"/>
      <c r="M86" s="12"/>
    </row>
    <row r="87" ht="22.5" customHeight="1">
      <c r="A87" s="10"/>
      <c r="B87" s="11"/>
      <c r="C87" s="11"/>
      <c r="D87" s="11"/>
      <c r="E87" s="11"/>
      <c r="F87" s="11"/>
      <c r="G87" s="11"/>
      <c r="H87" s="11"/>
      <c r="I87" s="11"/>
      <c r="J87" s="11"/>
      <c r="K87" s="11"/>
      <c r="L87" s="11"/>
      <c r="M87" s="12"/>
    </row>
    <row r="88" ht="22.5" customHeight="1">
      <c r="A88" s="10"/>
      <c r="B88" s="11"/>
      <c r="C88" s="11"/>
      <c r="D88" s="11"/>
      <c r="E88" s="11"/>
      <c r="F88" s="11"/>
      <c r="G88" s="11"/>
      <c r="H88" s="11"/>
      <c r="I88" s="11"/>
      <c r="J88" s="11"/>
      <c r="K88" s="11"/>
      <c r="L88" s="11"/>
      <c r="M88" s="12"/>
    </row>
    <row r="89" ht="22.5" customHeight="1">
      <c r="A89" s="10"/>
      <c r="B89" s="11"/>
      <c r="C89" s="11"/>
      <c r="D89" s="11"/>
      <c r="E89" s="11"/>
      <c r="F89" s="11"/>
      <c r="G89" s="11"/>
      <c r="H89" s="11"/>
      <c r="I89" s="11"/>
      <c r="J89" s="11"/>
      <c r="K89" s="11"/>
      <c r="L89" s="11"/>
      <c r="M89" s="12"/>
    </row>
    <row r="90" ht="22.5" customHeight="1">
      <c r="A90" s="10"/>
      <c r="B90" s="11"/>
      <c r="C90" s="11"/>
      <c r="D90" s="11"/>
      <c r="E90" s="11"/>
      <c r="F90" s="11"/>
      <c r="G90" s="11"/>
      <c r="H90" s="11"/>
      <c r="I90" s="11"/>
      <c r="J90" s="11"/>
      <c r="K90" s="11"/>
      <c r="L90" s="11"/>
      <c r="M90" s="12"/>
    </row>
    <row r="91" ht="22.5" customHeight="1">
      <c r="A91" s="10"/>
      <c r="B91" s="11"/>
      <c r="C91" s="11"/>
      <c r="D91" s="11"/>
      <c r="E91" s="11"/>
      <c r="F91" s="11"/>
      <c r="G91" s="11"/>
      <c r="H91" s="11"/>
      <c r="I91" s="11"/>
      <c r="J91" s="11"/>
      <c r="K91" s="11"/>
      <c r="L91" s="11"/>
      <c r="M91" s="12"/>
    </row>
    <row r="92" ht="22.5" customHeight="1">
      <c r="A92" s="10"/>
      <c r="B92" s="11"/>
      <c r="C92" s="11"/>
      <c r="D92" s="11"/>
      <c r="E92" s="11"/>
      <c r="F92" s="11"/>
      <c r="G92" s="11"/>
      <c r="H92" s="11"/>
      <c r="I92" s="11"/>
      <c r="J92" s="11"/>
      <c r="K92" s="11"/>
      <c r="L92" s="11"/>
      <c r="M92" s="12"/>
    </row>
    <row r="93" ht="22.5" customHeight="1">
      <c r="A93" s="10"/>
      <c r="B93" s="11"/>
      <c r="C93" s="11"/>
      <c r="D93" s="11"/>
      <c r="E93" s="11"/>
      <c r="F93" s="11"/>
      <c r="G93" s="11"/>
      <c r="H93" s="11"/>
      <c r="I93" s="11"/>
      <c r="J93" s="11"/>
      <c r="K93" s="11"/>
      <c r="L93" s="11"/>
      <c r="M93" s="12"/>
    </row>
    <row r="94" ht="22.5" customHeight="1">
      <c r="A94" s="10"/>
      <c r="B94" s="11"/>
      <c r="C94" s="11"/>
      <c r="D94" s="11"/>
      <c r="E94" s="11"/>
      <c r="F94" s="11"/>
      <c r="G94" s="11"/>
      <c r="H94" s="11"/>
      <c r="I94" s="11"/>
      <c r="J94" s="11"/>
      <c r="K94" s="11"/>
      <c r="L94" s="11"/>
      <c r="M94" s="12"/>
    </row>
    <row r="95" ht="22.5" customHeight="1">
      <c r="A95" s="28"/>
      <c r="B95" s="29"/>
      <c r="C95" s="29"/>
      <c r="D95" s="29"/>
      <c r="E95" s="29"/>
      <c r="F95" s="29"/>
      <c r="G95" s="29"/>
      <c r="H95" s="29"/>
      <c r="I95" s="29"/>
      <c r="J95" s="11"/>
      <c r="K95" s="11"/>
      <c r="L95" s="11"/>
      <c r="M95" s="12"/>
    </row>
    <row r="96" ht="22.5" customHeight="1">
      <c r="A96" t="s" s="31">
        <v>51</v>
      </c>
      <c r="B96" s="58"/>
      <c r="C96" s="58"/>
      <c r="D96" s="58"/>
      <c r="E96" s="58"/>
      <c r="F96" s="58"/>
      <c r="G96" s="58"/>
      <c r="H96" s="58"/>
      <c r="I96" s="59"/>
      <c r="J96" s="60"/>
      <c r="K96" s="11"/>
      <c r="L96" s="11"/>
      <c r="M96" s="12"/>
    </row>
    <row r="97" ht="22.5" customHeight="1">
      <c r="A97" s="38"/>
      <c r="B97" s="11"/>
      <c r="C97" s="11"/>
      <c r="D97" s="11"/>
      <c r="E97" s="11"/>
      <c r="F97" s="11"/>
      <c r="G97" s="11"/>
      <c r="H97" s="11"/>
      <c r="I97" s="61"/>
      <c r="J97" s="60"/>
      <c r="K97" s="11"/>
      <c r="L97" s="11"/>
      <c r="M97" s="12"/>
    </row>
    <row r="98" ht="22.5" customHeight="1">
      <c r="A98" s="38"/>
      <c r="B98" s="11"/>
      <c r="C98" s="11"/>
      <c r="D98" s="11"/>
      <c r="E98" s="11"/>
      <c r="F98" s="11"/>
      <c r="G98" s="11"/>
      <c r="H98" s="11"/>
      <c r="I98" s="61"/>
      <c r="J98" s="60"/>
      <c r="K98" s="11"/>
      <c r="L98" s="11"/>
      <c r="M98" s="12"/>
    </row>
    <row r="99" ht="22.5" customHeight="1">
      <c r="A99" s="60"/>
      <c r="B99" s="11"/>
      <c r="C99" s="11"/>
      <c r="D99" s="11"/>
      <c r="E99" s="11"/>
      <c r="F99" s="11"/>
      <c r="G99" s="11"/>
      <c r="H99" s="11"/>
      <c r="I99" s="61"/>
      <c r="J99" s="60"/>
      <c r="K99" s="11"/>
      <c r="L99" s="11"/>
      <c r="M99" s="12"/>
    </row>
    <row r="100" ht="22.5" customHeight="1">
      <c r="A100" s="60"/>
      <c r="B100" s="11"/>
      <c r="C100" s="11"/>
      <c r="D100" s="11"/>
      <c r="E100" s="11"/>
      <c r="F100" s="11"/>
      <c r="G100" s="11"/>
      <c r="H100" s="11"/>
      <c r="I100" s="61"/>
      <c r="J100" s="60"/>
      <c r="K100" s="11"/>
      <c r="L100" s="11"/>
      <c r="M100" s="12"/>
    </row>
    <row r="101" ht="22.5" customHeight="1">
      <c r="A101" s="62"/>
      <c r="B101" s="29"/>
      <c r="C101" s="29"/>
      <c r="D101" s="29"/>
      <c r="E101" s="29"/>
      <c r="F101" s="29"/>
      <c r="G101" s="29"/>
      <c r="H101" s="29"/>
      <c r="I101" s="63"/>
      <c r="J101" s="60"/>
      <c r="K101" s="11"/>
      <c r="L101" s="11"/>
      <c r="M101" s="12"/>
    </row>
    <row r="102" ht="22.5" customHeight="1">
      <c r="A102" s="74"/>
      <c r="B102" s="58"/>
      <c r="C102" s="58"/>
      <c r="D102" s="58"/>
      <c r="E102" s="58"/>
      <c r="F102" s="58"/>
      <c r="G102" s="58"/>
      <c r="H102" s="58"/>
      <c r="I102" s="58"/>
      <c r="J102" s="11"/>
      <c r="K102" s="11"/>
      <c r="L102" s="11"/>
      <c r="M102" s="12"/>
    </row>
    <row r="103" ht="40.5" customHeight="1">
      <c r="A103" t="s" s="49">
        <v>52</v>
      </c>
      <c r="B103" s="11"/>
      <c r="C103" s="11"/>
      <c r="D103" s="11"/>
      <c r="E103" s="11"/>
      <c r="F103" s="11"/>
      <c r="G103" s="11"/>
      <c r="H103" s="11"/>
      <c r="I103" s="11"/>
      <c r="J103" s="11"/>
      <c r="K103" s="11"/>
      <c r="L103" s="11"/>
      <c r="M103" s="12"/>
    </row>
    <row r="104" ht="22.5" customHeight="1">
      <c r="A104" s="50">
        <v>2010</v>
      </c>
      <c r="B104" s="51"/>
      <c r="C104" t="s" s="52">
        <v>53</v>
      </c>
      <c r="D104" s="75"/>
      <c r="E104" s="11"/>
      <c r="F104" s="70"/>
      <c r="G104" s="76"/>
      <c r="H104" s="76"/>
      <c r="I104" s="11"/>
      <c r="J104" s="11"/>
      <c r="K104" s="11"/>
      <c r="L104" s="11"/>
      <c r="M104" s="12"/>
    </row>
    <row r="105" ht="22.5" customHeight="1">
      <c r="A105" s="10"/>
      <c r="B105" s="11"/>
      <c r="C105" s="75"/>
      <c r="D105" s="75"/>
      <c r="E105" s="11"/>
      <c r="F105" s="70"/>
      <c r="G105" s="76"/>
      <c r="H105" s="76"/>
      <c r="I105" s="11"/>
      <c r="J105" s="11"/>
      <c r="K105" s="11"/>
      <c r="L105" s="11"/>
      <c r="M105" s="12"/>
    </row>
    <row r="106" ht="22.5" customHeight="1">
      <c r="A106" s="10"/>
      <c r="B106" s="11"/>
      <c r="C106" s="11"/>
      <c r="D106" s="66"/>
      <c r="E106" s="66"/>
      <c r="F106" s="47"/>
      <c r="G106" s="66"/>
      <c r="H106" s="11"/>
      <c r="I106" s="11"/>
      <c r="J106" s="11"/>
      <c r="K106" s="11"/>
      <c r="L106" s="11"/>
      <c r="M106" s="12"/>
    </row>
    <row r="107" ht="22.5" customHeight="1">
      <c r="A107" s="10"/>
      <c r="B107" s="11"/>
      <c r="C107" s="51"/>
      <c r="D107" s="11"/>
      <c r="E107" s="66"/>
      <c r="F107" s="47"/>
      <c r="G107" s="11"/>
      <c r="H107" s="11"/>
      <c r="I107" s="11"/>
      <c r="J107" s="11"/>
      <c r="K107" s="11"/>
      <c r="L107" s="11"/>
      <c r="M107" s="12"/>
    </row>
    <row r="108" ht="22.5" customHeight="1">
      <c r="A108" s="10"/>
      <c r="B108" s="11"/>
      <c r="C108" s="11"/>
      <c r="D108" s="70"/>
      <c r="E108" s="75"/>
      <c r="F108" s="75"/>
      <c r="G108" s="75"/>
      <c r="H108" s="11"/>
      <c r="I108" s="11"/>
      <c r="J108" s="11"/>
      <c r="K108" s="11"/>
      <c r="L108" s="11"/>
      <c r="M108" s="12"/>
    </row>
    <row r="109" ht="22.5" customHeight="1">
      <c r="A109" s="10"/>
      <c r="B109" s="11"/>
      <c r="C109" s="11"/>
      <c r="D109" s="70"/>
      <c r="E109" s="77"/>
      <c r="F109" s="77"/>
      <c r="G109" s="77"/>
      <c r="H109" s="11"/>
      <c r="I109" s="11"/>
      <c r="J109" s="11"/>
      <c r="K109" s="11"/>
      <c r="L109" s="11"/>
      <c r="M109" s="12"/>
    </row>
    <row r="110" ht="22.5" customHeight="1">
      <c r="A110" s="10"/>
      <c r="B110" s="11"/>
      <c r="C110" s="11"/>
      <c r="D110" s="11"/>
      <c r="E110" s="11"/>
      <c r="F110" s="11"/>
      <c r="G110" s="11"/>
      <c r="H110" s="11"/>
      <c r="I110" s="11"/>
      <c r="J110" s="11"/>
      <c r="K110" s="11"/>
      <c r="L110" s="11"/>
      <c r="M110" s="12"/>
    </row>
    <row r="111" ht="22.5" customHeight="1">
      <c r="A111" s="10"/>
      <c r="B111" s="11"/>
      <c r="C111" s="11"/>
      <c r="D111" s="11"/>
      <c r="E111" s="11"/>
      <c r="F111" s="11"/>
      <c r="G111" s="11"/>
      <c r="H111" s="11"/>
      <c r="I111" s="11"/>
      <c r="J111" s="11"/>
      <c r="K111" s="11"/>
      <c r="L111" s="11"/>
      <c r="M111" s="12"/>
    </row>
    <row r="112" ht="22.5" customHeight="1">
      <c r="A112" s="10"/>
      <c r="B112" s="11"/>
      <c r="C112" s="11"/>
      <c r="D112" s="11"/>
      <c r="E112" s="11"/>
      <c r="F112" s="11"/>
      <c r="G112" s="11"/>
      <c r="H112" s="11"/>
      <c r="I112" s="11"/>
      <c r="J112" s="11"/>
      <c r="K112" s="11"/>
      <c r="L112" s="11"/>
      <c r="M112" s="12"/>
    </row>
    <row r="113" ht="22.5" customHeight="1">
      <c r="A113" s="10"/>
      <c r="B113" s="11"/>
      <c r="C113" s="11"/>
      <c r="D113" s="11"/>
      <c r="E113" s="11"/>
      <c r="F113" s="11"/>
      <c r="G113" s="11"/>
      <c r="H113" s="11"/>
      <c r="I113" s="11"/>
      <c r="J113" s="11"/>
      <c r="K113" s="11"/>
      <c r="L113" s="11"/>
      <c r="M113" s="12"/>
    </row>
    <row r="114" ht="22.5" customHeight="1">
      <c r="A114" s="10"/>
      <c r="B114" s="11"/>
      <c r="C114" s="11"/>
      <c r="D114" s="11"/>
      <c r="E114" s="11"/>
      <c r="F114" s="11"/>
      <c r="G114" s="11"/>
      <c r="H114" s="11"/>
      <c r="I114" s="11"/>
      <c r="J114" s="11"/>
      <c r="K114" s="11"/>
      <c r="L114" s="11"/>
      <c r="M114" s="12"/>
    </row>
    <row r="115" ht="22.5" customHeight="1">
      <c r="A115" s="10"/>
      <c r="B115" s="11"/>
      <c r="C115" s="11"/>
      <c r="D115" s="11"/>
      <c r="E115" s="11"/>
      <c r="F115" s="11"/>
      <c r="G115" s="11"/>
      <c r="H115" s="11"/>
      <c r="I115" s="11"/>
      <c r="J115" s="11"/>
      <c r="K115" s="11"/>
      <c r="L115" s="11"/>
      <c r="M115" s="12"/>
    </row>
    <row r="116" ht="22.5" customHeight="1">
      <c r="A116" s="10"/>
      <c r="B116" s="11"/>
      <c r="C116" s="11"/>
      <c r="D116" s="11"/>
      <c r="E116" s="11"/>
      <c r="F116" s="11"/>
      <c r="G116" s="11"/>
      <c r="H116" s="11"/>
      <c r="I116" s="11"/>
      <c r="J116" s="11"/>
      <c r="K116" s="11"/>
      <c r="L116" s="11"/>
      <c r="M116" s="12"/>
    </row>
    <row r="117" ht="22.5" customHeight="1">
      <c r="A117" s="10"/>
      <c r="B117" s="11"/>
      <c r="C117" s="11"/>
      <c r="D117" s="11"/>
      <c r="E117" s="11"/>
      <c r="F117" s="11"/>
      <c r="G117" s="11"/>
      <c r="H117" s="11"/>
      <c r="I117" s="11"/>
      <c r="J117" s="11"/>
      <c r="K117" s="11"/>
      <c r="L117" s="11"/>
      <c r="M117" s="12"/>
    </row>
    <row r="118" ht="22.5" customHeight="1">
      <c r="A118" s="10"/>
      <c r="B118" s="11"/>
      <c r="C118" s="11"/>
      <c r="D118" s="11"/>
      <c r="E118" s="11"/>
      <c r="F118" s="11"/>
      <c r="G118" s="11"/>
      <c r="H118" s="11"/>
      <c r="I118" s="11"/>
      <c r="J118" s="11"/>
      <c r="K118" s="11"/>
      <c r="L118" s="11"/>
      <c r="M118" s="12"/>
    </row>
    <row r="119" ht="22.5" customHeight="1">
      <c r="A119" s="10"/>
      <c r="B119" s="11"/>
      <c r="C119" s="11"/>
      <c r="D119" s="11"/>
      <c r="E119" s="11"/>
      <c r="F119" s="11"/>
      <c r="G119" s="11"/>
      <c r="H119" s="11"/>
      <c r="I119" s="11"/>
      <c r="J119" s="11"/>
      <c r="K119" s="11"/>
      <c r="L119" s="11"/>
      <c r="M119" s="12"/>
    </row>
    <row r="120" ht="22.5" customHeight="1">
      <c r="A120" s="10"/>
      <c r="B120" s="11"/>
      <c r="C120" s="11"/>
      <c r="D120" s="11"/>
      <c r="E120" s="11"/>
      <c r="F120" s="11"/>
      <c r="G120" s="11"/>
      <c r="H120" s="11"/>
      <c r="I120" s="11"/>
      <c r="J120" s="11"/>
      <c r="K120" s="11"/>
      <c r="L120" s="11"/>
      <c r="M120" s="12"/>
    </row>
    <row r="121" ht="22.5" customHeight="1">
      <c r="A121" s="10"/>
      <c r="B121" s="11"/>
      <c r="C121" s="11"/>
      <c r="D121" s="11"/>
      <c r="E121" s="11"/>
      <c r="F121" s="11"/>
      <c r="G121" s="11"/>
      <c r="H121" s="11"/>
      <c r="I121" s="11"/>
      <c r="J121" s="11"/>
      <c r="K121" s="11"/>
      <c r="L121" s="11"/>
      <c r="M121" s="12"/>
    </row>
    <row r="122" ht="22.5" customHeight="1">
      <c r="A122" s="10"/>
      <c r="B122" s="11"/>
      <c r="C122" s="11"/>
      <c r="D122" s="11"/>
      <c r="E122" s="11"/>
      <c r="F122" s="11"/>
      <c r="G122" s="11"/>
      <c r="H122" s="11"/>
      <c r="I122" s="11"/>
      <c r="J122" s="11"/>
      <c r="K122" s="11"/>
      <c r="L122" s="11"/>
      <c r="M122" s="12"/>
    </row>
    <row r="123" ht="22.5" customHeight="1">
      <c r="A123" s="10"/>
      <c r="B123" s="11"/>
      <c r="C123" s="11"/>
      <c r="D123" s="11"/>
      <c r="E123" s="11"/>
      <c r="F123" s="11"/>
      <c r="G123" s="11"/>
      <c r="H123" s="11"/>
      <c r="I123" s="11"/>
      <c r="J123" s="11"/>
      <c r="K123" s="11"/>
      <c r="L123" s="11"/>
      <c r="M123" s="12"/>
    </row>
    <row r="124" ht="22.5" customHeight="1">
      <c r="A124" s="10"/>
      <c r="B124" s="11"/>
      <c r="C124" s="11"/>
      <c r="D124" s="11"/>
      <c r="E124" s="11"/>
      <c r="F124" s="11"/>
      <c r="G124" s="11"/>
      <c r="H124" s="11"/>
      <c r="I124" s="11"/>
      <c r="J124" s="11"/>
      <c r="K124" s="11"/>
      <c r="L124" s="11"/>
      <c r="M124" s="12"/>
    </row>
    <row r="125" ht="22.5" customHeight="1">
      <c r="A125" s="10"/>
      <c r="B125" s="11"/>
      <c r="C125" s="11"/>
      <c r="D125" s="11"/>
      <c r="E125" s="11"/>
      <c r="F125" s="11"/>
      <c r="G125" s="11"/>
      <c r="H125" s="11"/>
      <c r="I125" s="11"/>
      <c r="J125" s="11"/>
      <c r="K125" s="11"/>
      <c r="L125" s="11"/>
      <c r="M125" s="12"/>
    </row>
    <row r="126" ht="22.5" customHeight="1">
      <c r="A126" s="10"/>
      <c r="B126" s="11"/>
      <c r="C126" s="11"/>
      <c r="D126" s="11"/>
      <c r="E126" s="11"/>
      <c r="F126" s="11"/>
      <c r="G126" s="11"/>
      <c r="H126" s="11"/>
      <c r="I126" s="11"/>
      <c r="J126" s="11"/>
      <c r="K126" s="11"/>
      <c r="L126" s="11"/>
      <c r="M126" s="12"/>
    </row>
    <row r="127" ht="22.5" customHeight="1">
      <c r="A127" s="10"/>
      <c r="B127" s="11"/>
      <c r="C127" s="11"/>
      <c r="D127" s="11"/>
      <c r="E127" s="11"/>
      <c r="F127" s="11"/>
      <c r="G127" s="11"/>
      <c r="H127" s="11"/>
      <c r="I127" s="11"/>
      <c r="J127" s="11"/>
      <c r="K127" s="11"/>
      <c r="L127" s="11"/>
      <c r="M127" s="12"/>
    </row>
    <row r="128" ht="22.5" customHeight="1">
      <c r="A128" s="10"/>
      <c r="B128" s="11"/>
      <c r="C128" s="11"/>
      <c r="D128" s="11"/>
      <c r="E128" s="11"/>
      <c r="F128" s="11"/>
      <c r="G128" s="11"/>
      <c r="H128" s="11"/>
      <c r="I128" s="11"/>
      <c r="J128" s="11"/>
      <c r="K128" s="11"/>
      <c r="L128" s="11"/>
      <c r="M128" s="12"/>
    </row>
    <row r="129" ht="22.5" customHeight="1">
      <c r="A129" s="10"/>
      <c r="B129" s="11"/>
      <c r="C129" s="11"/>
      <c r="D129" s="11"/>
      <c r="E129" s="11"/>
      <c r="F129" s="11"/>
      <c r="G129" s="11"/>
      <c r="H129" s="11"/>
      <c r="I129" s="11"/>
      <c r="J129" s="11"/>
      <c r="K129" s="11"/>
      <c r="L129" s="11"/>
      <c r="M129" s="12"/>
    </row>
    <row r="130" ht="22.5" customHeight="1">
      <c r="A130" s="10"/>
      <c r="B130" s="11"/>
      <c r="C130" s="11"/>
      <c r="D130" s="11"/>
      <c r="E130" s="11"/>
      <c r="F130" s="11"/>
      <c r="G130" s="11"/>
      <c r="H130" s="11"/>
      <c r="I130" s="11"/>
      <c r="J130" s="11"/>
      <c r="K130" s="11"/>
      <c r="L130" s="11"/>
      <c r="M130" s="12"/>
    </row>
    <row r="131" ht="22.5" customHeight="1">
      <c r="A131" s="10"/>
      <c r="B131" s="11"/>
      <c r="C131" s="11"/>
      <c r="D131" s="11"/>
      <c r="E131" s="11"/>
      <c r="F131" s="11"/>
      <c r="G131" s="11"/>
      <c r="H131" s="11"/>
      <c r="I131" s="11"/>
      <c r="J131" s="11"/>
      <c r="K131" s="11"/>
      <c r="L131" s="11"/>
      <c r="M131" s="12"/>
    </row>
    <row r="132" ht="22.5" customHeight="1">
      <c r="A132" s="10"/>
      <c r="B132" s="11"/>
      <c r="C132" s="11"/>
      <c r="D132" s="11"/>
      <c r="E132" s="11"/>
      <c r="F132" s="11"/>
      <c r="G132" s="11"/>
      <c r="H132" s="11"/>
      <c r="I132" s="11"/>
      <c r="J132" s="11"/>
      <c r="K132" s="11"/>
      <c r="L132" s="11"/>
      <c r="M132" s="12"/>
    </row>
    <row r="133" ht="22.5" customHeight="1">
      <c r="A133" s="10"/>
      <c r="B133" s="11"/>
      <c r="C133" s="11"/>
      <c r="D133" s="11"/>
      <c r="E133" s="11"/>
      <c r="F133" s="11"/>
      <c r="G133" s="11"/>
      <c r="H133" s="11"/>
      <c r="I133" s="11"/>
      <c r="J133" s="11"/>
      <c r="K133" s="11"/>
      <c r="L133" s="11"/>
      <c r="M133" s="12"/>
    </row>
    <row r="134" ht="33.95" customHeight="1">
      <c r="A134" s="50">
        <v>2020</v>
      </c>
      <c r="B134" s="51"/>
      <c r="C134" t="s" s="52">
        <v>53</v>
      </c>
      <c r="D134" s="75"/>
      <c r="E134" s="11"/>
      <c r="F134" s="70"/>
      <c r="G134" s="76"/>
      <c r="H134" s="76"/>
      <c r="I134" s="11"/>
      <c r="J134" s="11"/>
      <c r="K134" s="11"/>
      <c r="L134" s="11"/>
      <c r="M134" s="12"/>
    </row>
    <row r="135" ht="22.5" customHeight="1">
      <c r="A135" s="50">
        <v>2010</v>
      </c>
      <c r="B135" s="51"/>
      <c r="C135" t="s" s="52">
        <v>54</v>
      </c>
      <c r="D135" s="75"/>
      <c r="E135" s="11"/>
      <c r="F135" s="78">
        <v>-146</v>
      </c>
      <c r="G135" t="s" s="46">
        <v>39</v>
      </c>
      <c r="H135" s="76"/>
      <c r="I135" s="11"/>
      <c r="J135" s="11"/>
      <c r="K135" s="11"/>
      <c r="L135" s="11"/>
      <c r="M135" s="12"/>
    </row>
    <row r="136" ht="22.5" customHeight="1">
      <c r="A136" t="s" s="79">
        <v>55</v>
      </c>
      <c r="B136" s="11"/>
      <c r="C136" s="78">
        <v>-107</v>
      </c>
      <c r="D136" t="s" s="52">
        <v>56</v>
      </c>
      <c r="E136" s="66"/>
      <c r="F136" s="78">
        <v>-53</v>
      </c>
      <c r="G136" t="s" s="52">
        <v>39</v>
      </c>
      <c r="H136" s="11"/>
      <c r="I136" s="11"/>
      <c r="J136" s="11"/>
      <c r="K136" s="11"/>
      <c r="L136" s="11"/>
      <c r="M136" s="12"/>
    </row>
    <row r="137" ht="18.75" customHeight="1">
      <c r="A137" t="s" s="65">
        <v>57</v>
      </c>
      <c r="B137" s="11"/>
      <c r="C137" s="78">
        <v>-312</v>
      </c>
      <c r="D137" t="s" s="52">
        <v>30</v>
      </c>
      <c r="E137" s="66"/>
      <c r="F137" s="47"/>
      <c r="G137" s="11"/>
      <c r="H137" s="11"/>
      <c r="I137" s="11"/>
      <c r="J137" s="11"/>
      <c r="K137" s="11"/>
      <c r="L137" s="11"/>
      <c r="M137" s="12"/>
    </row>
    <row r="138" ht="22.5" customHeight="1">
      <c r="A138" s="10"/>
      <c r="B138" s="11"/>
      <c r="C138" s="11"/>
      <c r="D138" s="70"/>
      <c r="E138" s="75"/>
      <c r="F138" s="75"/>
      <c r="G138" s="75"/>
      <c r="H138" s="11"/>
      <c r="I138" s="11"/>
      <c r="J138" s="11"/>
      <c r="K138" s="11"/>
      <c r="L138" s="11"/>
      <c r="M138" s="12"/>
    </row>
    <row r="139" ht="22.5" customHeight="1">
      <c r="A139" s="10"/>
      <c r="B139" s="11"/>
      <c r="C139" s="11"/>
      <c r="D139" s="70"/>
      <c r="E139" s="77"/>
      <c r="F139" s="77"/>
      <c r="G139" s="77"/>
      <c r="H139" s="11"/>
      <c r="I139" s="11"/>
      <c r="J139" s="11"/>
      <c r="K139" s="11"/>
      <c r="L139" s="11"/>
      <c r="M139" s="12"/>
    </row>
    <row r="140" ht="22.5" customHeight="1">
      <c r="A140" s="10"/>
      <c r="B140" s="11"/>
      <c r="C140" s="11"/>
      <c r="D140" s="11"/>
      <c r="E140" s="11"/>
      <c r="F140" s="11"/>
      <c r="G140" s="11"/>
      <c r="H140" s="11"/>
      <c r="I140" s="11"/>
      <c r="J140" s="11"/>
      <c r="K140" s="11"/>
      <c r="L140" s="11"/>
      <c r="M140" s="12"/>
    </row>
    <row r="141" ht="22.5" customHeight="1">
      <c r="A141" s="10"/>
      <c r="B141" s="11"/>
      <c r="C141" s="11"/>
      <c r="D141" s="11"/>
      <c r="E141" s="11"/>
      <c r="F141" s="11"/>
      <c r="G141" s="11"/>
      <c r="H141" s="11"/>
      <c r="I141" s="11"/>
      <c r="J141" s="11"/>
      <c r="K141" s="11"/>
      <c r="L141" s="11"/>
      <c r="M141" s="12"/>
    </row>
    <row r="142" ht="22.5" customHeight="1">
      <c r="A142" s="10"/>
      <c r="B142" s="11"/>
      <c r="C142" s="11"/>
      <c r="D142" s="11"/>
      <c r="E142" s="11"/>
      <c r="F142" s="11"/>
      <c r="G142" s="11"/>
      <c r="H142" s="11"/>
      <c r="I142" s="11"/>
      <c r="J142" s="11"/>
      <c r="K142" s="11"/>
      <c r="L142" s="11"/>
      <c r="M142" s="12"/>
    </row>
    <row r="143" ht="22.5" customHeight="1">
      <c r="A143" s="80"/>
      <c r="B143" s="81"/>
      <c r="C143" s="81"/>
      <c r="D143" s="81"/>
      <c r="E143" s="81"/>
      <c r="F143" s="81"/>
      <c r="G143" s="81"/>
      <c r="H143" s="81"/>
      <c r="I143" s="81"/>
      <c r="J143" s="81"/>
      <c r="K143" s="81"/>
      <c r="L143" s="81"/>
      <c r="M143" s="82"/>
    </row>
  </sheetData>
  <mergeCells count="24">
    <mergeCell ref="D7:E7"/>
    <mergeCell ref="A104:B104"/>
    <mergeCell ref="A73:B73"/>
    <mergeCell ref="E2:I3"/>
    <mergeCell ref="B2:D3"/>
    <mergeCell ref="A7:B7"/>
    <mergeCell ref="G70:H70"/>
    <mergeCell ref="C71:D71"/>
    <mergeCell ref="G71:H71"/>
    <mergeCell ref="E74:G74"/>
    <mergeCell ref="E75:G75"/>
    <mergeCell ref="D72:E72"/>
    <mergeCell ref="C70:D70"/>
    <mergeCell ref="A6:B6"/>
    <mergeCell ref="E6:F6"/>
    <mergeCell ref="D41:E41"/>
    <mergeCell ref="A8:B8"/>
    <mergeCell ref="A134:B134"/>
    <mergeCell ref="A135:B135"/>
    <mergeCell ref="F36:G36"/>
    <mergeCell ref="F37:G37"/>
    <mergeCell ref="D40:E40"/>
    <mergeCell ref="D38:E38"/>
    <mergeCell ref="A39:B39"/>
  </mergeCells>
  <conditionalFormatting sqref="E6:F6 C7 F36:G37 M53 C70:D71 F70:F71 D74:G74 D75 C104:D105 F104:F105 D108:G108 D109 C134:D134 F134 D135 D138:G138 D139">
    <cfRule type="cellIs" dxfId="0" priority="1" operator="lessThan" stopIfTrue="1">
      <formula>0</formula>
    </cfRule>
  </conditionalFormatting>
  <pageMargins left="0.708661" right="0.708661" top="0.748031" bottom="0.748031" header="0.314961" footer="0.314961"/>
  <pageSetup firstPageNumber="1" fitToHeight="1" fitToWidth="1" scale="90" useFirstPageNumber="0" orientation="portrait" pageOrder="downThenOver"/>
  <headerFooter>
    <oddHeader>&amp;L&amp;"HG丸ｺﾞｼｯｸM-PRO,Regular"&amp;16&amp;K000000現況シート】</oddHeader>
    <oddFooter>&amp;C&amp;"ヒラギノ角ゴ ProN W3,Regular"&amp;12&amp;K000000&amp;P</oddFooter>
  </headerFooter>
  <drawing r:id="rId1"/>
</worksheet>
</file>

<file path=xl/worksheets/sheet4.xml><?xml version="1.0" encoding="utf-8"?>
<worksheet xmlns:r="http://schemas.openxmlformats.org/officeDocument/2006/relationships" xmlns="http://schemas.openxmlformats.org/spreadsheetml/2006/main">
  <dimension ref="A1:I204"/>
  <sheetViews>
    <sheetView workbookViewId="0" showGridLines="0" defaultGridColor="1"/>
  </sheetViews>
  <sheetFormatPr defaultColWidth="9" defaultRowHeight="22.5" customHeight="1" outlineLevelRow="0" outlineLevelCol="0"/>
  <cols>
    <col min="1" max="2" width="9" style="83" customWidth="1"/>
    <col min="3" max="3" width="12.4453" style="83" customWidth="1"/>
    <col min="4" max="4" width="9" style="83" customWidth="1"/>
    <col min="5" max="5" width="10" style="83" customWidth="1"/>
    <col min="6" max="8" width="9" style="83" customWidth="1"/>
    <col min="9" max="9" width="10.5781" style="83" customWidth="1"/>
    <col min="10" max="256" width="9" style="83" customWidth="1"/>
  </cols>
  <sheetData>
    <row r="1" ht="22.5" customHeight="1">
      <c r="A1" t="s" s="43">
        <v>59</v>
      </c>
      <c r="B1" s="8"/>
      <c r="C1" s="8"/>
      <c r="D1" s="8"/>
      <c r="E1" s="8"/>
      <c r="F1" s="8"/>
      <c r="G1" s="8"/>
      <c r="H1" s="8"/>
      <c r="I1" s="9"/>
    </row>
    <row r="2" ht="22.5" customHeight="1">
      <c r="A2" t="s" s="84">
        <v>8</v>
      </c>
      <c r="B2" s="45"/>
      <c r="C2" s="45"/>
      <c r="D2" t="s" s="46">
        <v>60</v>
      </c>
      <c r="E2" s="47"/>
      <c r="F2" s="47"/>
      <c r="G2" s="47"/>
      <c r="H2" s="47"/>
      <c r="I2" s="85"/>
    </row>
    <row r="3" ht="27.75" customHeight="1">
      <c r="A3" s="86"/>
      <c r="B3" s="45"/>
      <c r="C3" s="45"/>
      <c r="D3" s="47"/>
      <c r="E3" s="47"/>
      <c r="F3" s="47"/>
      <c r="G3" s="47"/>
      <c r="H3" s="47"/>
      <c r="I3" s="85"/>
    </row>
    <row r="4" ht="27.75" customHeight="1">
      <c r="A4" s="10"/>
      <c r="B4" s="11"/>
      <c r="C4" s="11"/>
      <c r="D4" s="11"/>
      <c r="E4" s="11"/>
      <c r="F4" s="11"/>
      <c r="G4" s="11"/>
      <c r="H4" s="11"/>
      <c r="I4" s="12"/>
    </row>
    <row r="5" ht="40.5" customHeight="1">
      <c r="A5" t="s" s="49">
        <v>26</v>
      </c>
      <c r="B5" s="11"/>
      <c r="C5" s="11"/>
      <c r="D5" s="11"/>
      <c r="E5" s="11"/>
      <c r="F5" s="11"/>
      <c r="G5" s="11"/>
      <c r="H5" s="11"/>
      <c r="I5" s="12"/>
    </row>
    <row r="6" ht="22.5" customHeight="1">
      <c r="A6" s="50">
        <v>2030</v>
      </c>
      <c r="B6" s="51"/>
      <c r="C6" t="s" s="52">
        <v>61</v>
      </c>
      <c r="D6" s="53">
        <v>2126</v>
      </c>
      <c r="E6" s="53"/>
      <c r="F6" t="s" s="52">
        <v>62</v>
      </c>
      <c r="G6" s="11"/>
      <c r="H6" s="66"/>
      <c r="I6" s="87"/>
    </row>
    <row r="7" ht="22.5" customHeight="1">
      <c r="A7" s="50">
        <v>2020</v>
      </c>
      <c r="B7" s="51"/>
      <c r="C7" t="s" s="52">
        <v>63</v>
      </c>
      <c r="D7" s="54">
        <v>-918</v>
      </c>
      <c r="E7" s="54"/>
      <c r="F7" t="s" s="52">
        <v>64</v>
      </c>
      <c r="G7" s="11"/>
      <c r="H7" s="11"/>
      <c r="I7" s="87"/>
    </row>
    <row r="8" ht="22.5" customHeight="1">
      <c r="A8" t="s" s="55">
        <v>31</v>
      </c>
      <c r="B8" s="56"/>
      <c r="C8" s="78">
        <v>-435</v>
      </c>
      <c r="D8" t="s" s="52">
        <v>32</v>
      </c>
      <c r="E8" s="11"/>
      <c r="F8" s="78">
        <v>-483</v>
      </c>
      <c r="G8" s="78"/>
      <c r="H8" t="s" s="52">
        <v>28</v>
      </c>
      <c r="I8" s="12"/>
    </row>
    <row r="9" ht="22.5" customHeight="1">
      <c r="A9" s="10"/>
      <c r="B9" s="11"/>
      <c r="C9" s="11"/>
      <c r="D9" s="11"/>
      <c r="E9" s="11"/>
      <c r="F9" s="11"/>
      <c r="G9" s="11"/>
      <c r="H9" s="11"/>
      <c r="I9" s="12"/>
    </row>
    <row r="10" ht="22.5" customHeight="1">
      <c r="A10" s="50">
        <v>2040</v>
      </c>
      <c r="B10" s="51"/>
      <c r="C10" t="s" s="52">
        <v>61</v>
      </c>
      <c r="D10" s="53">
        <v>1404</v>
      </c>
      <c r="E10" s="53"/>
      <c r="F10" t="s" s="52">
        <v>62</v>
      </c>
      <c r="G10" s="11"/>
      <c r="H10" s="66"/>
      <c r="I10" s="12"/>
    </row>
    <row r="11" ht="22.5" customHeight="1">
      <c r="A11" s="50">
        <v>2020</v>
      </c>
      <c r="B11" s="51"/>
      <c r="C11" t="s" s="52">
        <v>63</v>
      </c>
      <c r="D11" s="54">
        <v>-1640</v>
      </c>
      <c r="E11" s="54"/>
      <c r="F11" t="s" s="52">
        <v>64</v>
      </c>
      <c r="G11" s="11"/>
      <c r="H11" s="66"/>
      <c r="I11" s="12"/>
    </row>
    <row r="12" ht="22.5" customHeight="1">
      <c r="A12" t="s" s="55">
        <v>31</v>
      </c>
      <c r="B12" s="56"/>
      <c r="C12" s="78">
        <v>-787</v>
      </c>
      <c r="D12" t="s" s="52">
        <v>32</v>
      </c>
      <c r="E12" s="11"/>
      <c r="F12" s="78">
        <v>-853</v>
      </c>
      <c r="G12" s="78"/>
      <c r="H12" t="s" s="52">
        <v>28</v>
      </c>
      <c r="I12" s="12"/>
    </row>
    <row r="13" ht="22.5" customHeight="1">
      <c r="A13" s="10"/>
      <c r="B13" s="11"/>
      <c r="C13" s="11"/>
      <c r="D13" s="11"/>
      <c r="E13" s="11"/>
      <c r="F13" s="11"/>
      <c r="G13" s="11"/>
      <c r="H13" s="11"/>
      <c r="I13" s="12"/>
    </row>
    <row r="14" ht="22.5" customHeight="1">
      <c r="A14" s="10"/>
      <c r="B14" s="11"/>
      <c r="C14" s="11"/>
      <c r="D14" s="11"/>
      <c r="E14" s="11"/>
      <c r="F14" s="11"/>
      <c r="G14" s="11"/>
      <c r="H14" s="11"/>
      <c r="I14" s="12"/>
    </row>
    <row r="15" ht="22.5" customHeight="1">
      <c r="A15" s="10"/>
      <c r="B15" s="11"/>
      <c r="C15" s="11"/>
      <c r="D15" s="11"/>
      <c r="E15" s="11"/>
      <c r="F15" s="11"/>
      <c r="G15" s="11"/>
      <c r="H15" s="11"/>
      <c r="I15" s="12"/>
    </row>
    <row r="16" ht="22.5" customHeight="1">
      <c r="A16" s="10"/>
      <c r="B16" s="11"/>
      <c r="C16" s="11"/>
      <c r="D16" s="11"/>
      <c r="E16" s="11"/>
      <c r="F16" s="11"/>
      <c r="G16" s="11"/>
      <c r="H16" s="11"/>
      <c r="I16" s="12"/>
    </row>
    <row r="17" ht="22.5" customHeight="1">
      <c r="A17" s="10"/>
      <c r="B17" s="11"/>
      <c r="C17" s="11"/>
      <c r="D17" s="11"/>
      <c r="E17" s="11"/>
      <c r="F17" s="11"/>
      <c r="G17" s="11"/>
      <c r="H17" s="11"/>
      <c r="I17" s="12"/>
    </row>
    <row r="18" ht="22.5" customHeight="1">
      <c r="A18" s="10"/>
      <c r="B18" s="11"/>
      <c r="C18" s="11"/>
      <c r="D18" s="11"/>
      <c r="E18" s="11"/>
      <c r="F18" s="11"/>
      <c r="G18" s="11"/>
      <c r="H18" s="11"/>
      <c r="I18" s="12"/>
    </row>
    <row r="19" ht="22.5" customHeight="1">
      <c r="A19" s="10"/>
      <c r="B19" s="11"/>
      <c r="C19" s="11"/>
      <c r="D19" s="11"/>
      <c r="E19" s="11"/>
      <c r="F19" s="11"/>
      <c r="G19" s="11"/>
      <c r="H19" s="11"/>
      <c r="I19" s="12"/>
    </row>
    <row r="20" ht="22.5" customHeight="1">
      <c r="A20" s="10"/>
      <c r="B20" s="11"/>
      <c r="C20" s="11"/>
      <c r="D20" s="11"/>
      <c r="E20" s="11"/>
      <c r="F20" s="11"/>
      <c r="G20" s="11"/>
      <c r="H20" s="11"/>
      <c r="I20" s="12"/>
    </row>
    <row r="21" ht="22.5" customHeight="1">
      <c r="A21" s="10"/>
      <c r="B21" s="11"/>
      <c r="C21" s="11"/>
      <c r="D21" s="11"/>
      <c r="E21" s="11"/>
      <c r="F21" s="11"/>
      <c r="G21" s="11"/>
      <c r="H21" s="11"/>
      <c r="I21" s="12"/>
    </row>
    <row r="22" ht="22.5" customHeight="1">
      <c r="A22" s="10"/>
      <c r="B22" s="11"/>
      <c r="C22" s="11"/>
      <c r="D22" s="11"/>
      <c r="E22" s="11"/>
      <c r="F22" s="11"/>
      <c r="G22" s="57">
        <v>15</v>
      </c>
      <c r="H22" s="11"/>
      <c r="I22" s="12"/>
    </row>
    <row r="23" ht="22.5" customHeight="1">
      <c r="A23" s="10"/>
      <c r="B23" s="11"/>
      <c r="C23" s="11"/>
      <c r="D23" s="11"/>
      <c r="E23" s="11"/>
      <c r="F23" s="11"/>
      <c r="G23" s="11"/>
      <c r="H23" s="11"/>
      <c r="I23" s="12"/>
    </row>
    <row r="24" ht="22.5" customHeight="1">
      <c r="A24" s="10"/>
      <c r="B24" s="11"/>
      <c r="C24" s="11"/>
      <c r="D24" s="11"/>
      <c r="E24" s="11"/>
      <c r="F24" s="11"/>
      <c r="G24" s="11"/>
      <c r="H24" s="11"/>
      <c r="I24" s="12"/>
    </row>
    <row r="25" ht="22.5" customHeight="1">
      <c r="A25" s="10"/>
      <c r="B25" s="11"/>
      <c r="C25" s="11"/>
      <c r="D25" s="11"/>
      <c r="E25" s="11"/>
      <c r="F25" s="11"/>
      <c r="G25" s="11"/>
      <c r="H25" s="11"/>
      <c r="I25" s="12"/>
    </row>
    <row r="26" ht="22.5" customHeight="1">
      <c r="A26" s="10"/>
      <c r="B26" s="11"/>
      <c r="C26" s="11"/>
      <c r="D26" s="11"/>
      <c r="E26" s="11"/>
      <c r="F26" s="11"/>
      <c r="G26" s="11"/>
      <c r="H26" s="11"/>
      <c r="I26" s="12"/>
    </row>
    <row r="27" ht="22.5" customHeight="1">
      <c r="A27" s="10"/>
      <c r="B27" s="11"/>
      <c r="C27" s="11"/>
      <c r="D27" s="11"/>
      <c r="E27" s="11"/>
      <c r="F27" s="11"/>
      <c r="G27" s="11"/>
      <c r="H27" s="11"/>
      <c r="I27" s="12"/>
    </row>
    <row r="28" ht="22.5" customHeight="1">
      <c r="A28" s="10"/>
      <c r="B28" s="11"/>
      <c r="C28" s="11"/>
      <c r="D28" s="11"/>
      <c r="E28" s="11"/>
      <c r="F28" s="11"/>
      <c r="G28" s="11"/>
      <c r="H28" s="11"/>
      <c r="I28" s="12"/>
    </row>
    <row r="29" ht="22.5" customHeight="1">
      <c r="A29" s="10"/>
      <c r="B29" s="11"/>
      <c r="C29" s="11"/>
      <c r="D29" s="11"/>
      <c r="E29" s="11"/>
      <c r="F29" s="11"/>
      <c r="G29" s="11"/>
      <c r="H29" s="11"/>
      <c r="I29" s="12"/>
    </row>
    <row r="30" ht="22.5" customHeight="1">
      <c r="A30" s="10"/>
      <c r="B30" s="11"/>
      <c r="C30" s="11"/>
      <c r="D30" s="11"/>
      <c r="E30" s="11"/>
      <c r="F30" s="11"/>
      <c r="G30" s="11"/>
      <c r="H30" s="11"/>
      <c r="I30" s="12"/>
    </row>
    <row r="31" ht="22.5" customHeight="1">
      <c r="A31" s="10"/>
      <c r="B31" s="11"/>
      <c r="C31" s="11"/>
      <c r="D31" s="11"/>
      <c r="E31" s="11"/>
      <c r="F31" s="11"/>
      <c r="G31" s="11"/>
      <c r="H31" s="11"/>
      <c r="I31" s="12"/>
    </row>
    <row r="32" ht="22.5" customHeight="1">
      <c r="A32" s="10"/>
      <c r="B32" s="11"/>
      <c r="C32" s="11"/>
      <c r="D32" s="11"/>
      <c r="E32" s="11"/>
      <c r="F32" s="11"/>
      <c r="G32" s="11"/>
      <c r="H32" s="11"/>
      <c r="I32" s="12"/>
    </row>
    <row r="33" ht="22.5" customHeight="1">
      <c r="A33" s="10"/>
      <c r="B33" s="11"/>
      <c r="C33" s="11"/>
      <c r="D33" s="11"/>
      <c r="E33" s="11"/>
      <c r="F33" s="11"/>
      <c r="G33" s="11"/>
      <c r="H33" s="11"/>
      <c r="I33" s="12"/>
    </row>
    <row r="34" ht="40.5" customHeight="1">
      <c r="A34" t="s" s="49">
        <v>34</v>
      </c>
      <c r="B34" s="11"/>
      <c r="C34" s="11"/>
      <c r="D34" s="11"/>
      <c r="E34" s="11"/>
      <c r="F34" s="11"/>
      <c r="G34" s="11"/>
      <c r="H34" s="11"/>
      <c r="I34" s="12"/>
    </row>
    <row r="35" ht="22.5" customHeight="1">
      <c r="A35" s="50">
        <v>2040</v>
      </c>
      <c r="B35" s="51"/>
      <c r="C35" t="s" s="52">
        <v>65</v>
      </c>
      <c r="D35" s="88"/>
      <c r="E35" s="11"/>
      <c r="F35" s="75"/>
      <c r="G35" s="75"/>
      <c r="H35" s="53"/>
      <c r="I35" s="89"/>
    </row>
    <row r="36" ht="22.5" customHeight="1">
      <c r="A36" t="s" s="65">
        <v>66</v>
      </c>
      <c r="B36" s="11"/>
      <c r="C36" s="11"/>
      <c r="D36" s="11"/>
      <c r="E36" s="11"/>
      <c r="F36" s="53">
        <v>32</v>
      </c>
      <c r="G36" s="53"/>
      <c r="H36" t="s" s="52">
        <v>39</v>
      </c>
      <c r="I36" s="87"/>
    </row>
    <row r="37" ht="22.5" customHeight="1">
      <c r="A37" t="s" s="65">
        <v>67</v>
      </c>
      <c r="B37" s="11"/>
      <c r="C37" s="11"/>
      <c r="D37" s="11"/>
      <c r="E37" s="11"/>
      <c r="F37" s="53">
        <v>18</v>
      </c>
      <c r="G37" s="53"/>
      <c r="H37" t="s" s="46">
        <v>68</v>
      </c>
      <c r="I37" s="89"/>
    </row>
    <row r="38" ht="22.5" customHeight="1">
      <c r="A38" s="10"/>
      <c r="B38" s="11"/>
      <c r="C38" s="11"/>
      <c r="D38" s="67"/>
      <c r="E38" s="67"/>
      <c r="F38" s="47"/>
      <c r="G38" s="66"/>
      <c r="H38" t="s" s="52">
        <v>69</v>
      </c>
      <c r="I38" s="12"/>
    </row>
    <row r="39" ht="22.5" customHeight="1">
      <c r="A39" s="10"/>
      <c r="B39" s="11"/>
      <c r="C39" s="11"/>
      <c r="D39" s="67"/>
      <c r="E39" s="67"/>
      <c r="F39" s="47"/>
      <c r="G39" s="66"/>
      <c r="H39" s="11"/>
      <c r="I39" s="12"/>
    </row>
    <row r="40" ht="22.5" customHeight="1">
      <c r="A40" t="s" s="65">
        <v>38</v>
      </c>
      <c r="B40" s="11"/>
      <c r="C40" s="90">
        <v>2020</v>
      </c>
      <c r="D40" t="s" s="52">
        <v>70</v>
      </c>
      <c r="E40" s="11"/>
      <c r="F40" s="54">
        <v>-64</v>
      </c>
      <c r="G40" s="54"/>
      <c r="H40" t="s" s="46">
        <v>39</v>
      </c>
      <c r="I40" s="12"/>
    </row>
    <row r="41" ht="22.5" customHeight="1">
      <c r="A41" t="s" s="65">
        <v>40</v>
      </c>
      <c r="B41" s="11"/>
      <c r="C41" s="90">
        <v>2020</v>
      </c>
      <c r="D41" t="s" s="52">
        <v>70</v>
      </c>
      <c r="E41" s="11"/>
      <c r="F41" s="54">
        <v>-33</v>
      </c>
      <c r="G41" s="54"/>
      <c r="H41" t="s" s="46">
        <v>71</v>
      </c>
      <c r="I41" s="12"/>
    </row>
    <row r="42" ht="22.5" customHeight="1">
      <c r="A42" s="10"/>
      <c r="B42" s="11"/>
      <c r="C42" s="11"/>
      <c r="D42" s="70"/>
      <c r="E42" s="70"/>
      <c r="F42" s="11"/>
      <c r="G42" s="47"/>
      <c r="H42" s="47"/>
      <c r="I42" t="s" s="91">
        <v>72</v>
      </c>
    </row>
    <row r="43" ht="22.5" customHeight="1">
      <c r="A43" s="10"/>
      <c r="B43" s="11"/>
      <c r="C43" s="11"/>
      <c r="D43" s="11"/>
      <c r="E43" s="11"/>
      <c r="F43" s="11"/>
      <c r="G43" s="11"/>
      <c r="H43" s="11"/>
      <c r="I43" s="12"/>
    </row>
    <row r="44" ht="22.5" customHeight="1">
      <c r="A44" s="10"/>
      <c r="B44" s="11"/>
      <c r="C44" s="11"/>
      <c r="D44" s="11"/>
      <c r="E44" s="11"/>
      <c r="F44" s="11"/>
      <c r="G44" s="11"/>
      <c r="H44" s="11"/>
      <c r="I44" s="12"/>
    </row>
    <row r="45" ht="22.5" customHeight="1">
      <c r="A45" s="10"/>
      <c r="B45" s="11"/>
      <c r="C45" s="11"/>
      <c r="D45" s="11"/>
      <c r="E45" s="11"/>
      <c r="F45" s="11"/>
      <c r="G45" s="11"/>
      <c r="H45" s="11"/>
      <c r="I45" s="12"/>
    </row>
    <row r="46" ht="22.5" customHeight="1">
      <c r="A46" s="10"/>
      <c r="B46" s="11"/>
      <c r="C46" s="11"/>
      <c r="D46" s="11"/>
      <c r="E46" s="11"/>
      <c r="F46" s="11"/>
      <c r="G46" s="11"/>
      <c r="H46" s="11"/>
      <c r="I46" s="12"/>
    </row>
    <row r="47" ht="22.5" customHeight="1">
      <c r="A47" s="10"/>
      <c r="B47" s="11"/>
      <c r="C47" s="11"/>
      <c r="D47" s="11"/>
      <c r="E47" s="11"/>
      <c r="F47" s="11"/>
      <c r="G47" s="11"/>
      <c r="H47" s="11"/>
      <c r="I47" s="12"/>
    </row>
    <row r="48" ht="22.5" customHeight="1">
      <c r="A48" s="10"/>
      <c r="B48" s="11"/>
      <c r="C48" s="11"/>
      <c r="D48" s="11"/>
      <c r="E48" s="11"/>
      <c r="F48" s="11"/>
      <c r="G48" s="11"/>
      <c r="H48" s="11"/>
      <c r="I48" s="12"/>
    </row>
    <row r="49" ht="22.5" customHeight="1">
      <c r="A49" s="10"/>
      <c r="B49" s="11"/>
      <c r="C49" s="11"/>
      <c r="D49" s="11"/>
      <c r="E49" s="11"/>
      <c r="F49" s="11"/>
      <c r="G49" s="11"/>
      <c r="H49" s="11"/>
      <c r="I49" s="12"/>
    </row>
    <row r="50" ht="22.5" customHeight="1">
      <c r="A50" s="10"/>
      <c r="B50" s="11"/>
      <c r="C50" s="11"/>
      <c r="D50" s="11"/>
      <c r="E50" s="11"/>
      <c r="F50" s="11"/>
      <c r="G50" s="11"/>
      <c r="H50" s="11"/>
      <c r="I50" s="12"/>
    </row>
    <row r="51" ht="22.5" customHeight="1">
      <c r="A51" s="10"/>
      <c r="B51" s="11"/>
      <c r="C51" s="11"/>
      <c r="D51" s="11"/>
      <c r="E51" s="11"/>
      <c r="F51" s="11"/>
      <c r="G51" s="11"/>
      <c r="H51" s="11"/>
      <c r="I51" s="12"/>
    </row>
    <row r="52" ht="22.5" customHeight="1">
      <c r="A52" s="10"/>
      <c r="B52" s="11"/>
      <c r="C52" s="11"/>
      <c r="D52" s="11"/>
      <c r="E52" s="11"/>
      <c r="F52" s="11"/>
      <c r="G52" s="11"/>
      <c r="H52" s="11"/>
      <c r="I52" s="12"/>
    </row>
    <row r="53" ht="22.5" customHeight="1">
      <c r="A53" s="10"/>
      <c r="B53" s="11"/>
      <c r="C53" s="11"/>
      <c r="D53" s="11"/>
      <c r="E53" s="11"/>
      <c r="F53" s="11"/>
      <c r="G53" s="11"/>
      <c r="H53" s="11"/>
      <c r="I53" s="12"/>
    </row>
    <row r="54" ht="22.5" customHeight="1">
      <c r="A54" s="10"/>
      <c r="B54" s="11"/>
      <c r="C54" s="11"/>
      <c r="D54" s="11"/>
      <c r="E54" s="11"/>
      <c r="F54" s="11"/>
      <c r="G54" s="11"/>
      <c r="H54" s="11"/>
      <c r="I54" s="12"/>
    </row>
    <row r="55" ht="22.5" customHeight="1">
      <c r="A55" s="10"/>
      <c r="B55" s="11"/>
      <c r="C55" s="11"/>
      <c r="D55" s="11"/>
      <c r="E55" s="11"/>
      <c r="F55" s="11"/>
      <c r="G55" s="11"/>
      <c r="H55" s="11"/>
      <c r="I55" s="12"/>
    </row>
    <row r="56" ht="22.5" customHeight="1">
      <c r="A56" s="10"/>
      <c r="B56" s="11"/>
      <c r="C56" s="11"/>
      <c r="D56" s="11"/>
      <c r="E56" s="11"/>
      <c r="F56" s="11"/>
      <c r="G56" s="11"/>
      <c r="H56" s="11"/>
      <c r="I56" s="12"/>
    </row>
    <row r="57" ht="22.5" customHeight="1">
      <c r="A57" s="10"/>
      <c r="B57" s="11"/>
      <c r="C57" s="11"/>
      <c r="D57" s="11"/>
      <c r="E57" s="11"/>
      <c r="F57" s="11"/>
      <c r="G57" s="11"/>
      <c r="H57" s="11"/>
      <c r="I57" s="12"/>
    </row>
    <row r="58" ht="22.5" customHeight="1">
      <c r="A58" s="10"/>
      <c r="B58" s="11"/>
      <c r="C58" s="11"/>
      <c r="D58" s="11"/>
      <c r="E58" s="11"/>
      <c r="F58" s="11"/>
      <c r="G58" s="11"/>
      <c r="H58" s="11"/>
      <c r="I58" s="12"/>
    </row>
    <row r="59" ht="22.5" customHeight="1">
      <c r="A59" s="10"/>
      <c r="B59" s="11"/>
      <c r="C59" s="11"/>
      <c r="D59" s="11"/>
      <c r="E59" s="11"/>
      <c r="F59" s="11"/>
      <c r="G59" s="11"/>
      <c r="H59" s="11"/>
      <c r="I59" s="12"/>
    </row>
    <row r="60" ht="22.5" customHeight="1">
      <c r="A60" s="10"/>
      <c r="B60" s="11"/>
      <c r="C60" s="11"/>
      <c r="D60" s="11"/>
      <c r="E60" s="11"/>
      <c r="F60" s="11"/>
      <c r="G60" s="11"/>
      <c r="H60" s="11"/>
      <c r="I60" s="12"/>
    </row>
    <row r="61" ht="22.5" customHeight="1">
      <c r="A61" s="10"/>
      <c r="B61" s="11"/>
      <c r="C61" s="11"/>
      <c r="D61" s="11"/>
      <c r="E61" s="11"/>
      <c r="F61" s="11"/>
      <c r="G61" s="11"/>
      <c r="H61" s="11"/>
      <c r="I61" s="12"/>
    </row>
    <row r="62" ht="22.5" customHeight="1">
      <c r="A62" s="10"/>
      <c r="B62" s="11"/>
      <c r="C62" s="11"/>
      <c r="D62" s="11"/>
      <c r="E62" s="11"/>
      <c r="F62" s="11"/>
      <c r="G62" s="11"/>
      <c r="H62" s="11"/>
      <c r="I62" s="12"/>
    </row>
    <row r="63" ht="22.5" customHeight="1">
      <c r="A63" s="10"/>
      <c r="B63" s="11"/>
      <c r="C63" s="11"/>
      <c r="D63" s="11"/>
      <c r="E63" s="11"/>
      <c r="F63" s="11"/>
      <c r="G63" s="11"/>
      <c r="H63" s="11"/>
      <c r="I63" s="12"/>
    </row>
    <row r="64" ht="22.5" customHeight="1">
      <c r="A64" s="10"/>
      <c r="B64" s="11"/>
      <c r="C64" s="11"/>
      <c r="D64" s="11"/>
      <c r="E64" s="11"/>
      <c r="F64" s="11"/>
      <c r="G64" s="11"/>
      <c r="H64" s="11"/>
      <c r="I64" s="12"/>
    </row>
    <row r="65" ht="22.5" customHeight="1">
      <c r="A65" s="10"/>
      <c r="B65" s="11"/>
      <c r="C65" s="11"/>
      <c r="D65" s="11"/>
      <c r="E65" s="11"/>
      <c r="F65" s="11"/>
      <c r="G65" s="11"/>
      <c r="H65" s="11"/>
      <c r="I65" s="12"/>
    </row>
    <row r="66" ht="22.5" customHeight="1">
      <c r="A66" s="10"/>
      <c r="B66" s="11"/>
      <c r="C66" s="11"/>
      <c r="D66" s="11"/>
      <c r="E66" s="11"/>
      <c r="F66" s="11"/>
      <c r="G66" s="11"/>
      <c r="H66" s="11"/>
      <c r="I66" s="12"/>
    </row>
    <row r="67" ht="22.5" customHeight="1">
      <c r="A67" s="10"/>
      <c r="B67" s="11"/>
      <c r="C67" s="11"/>
      <c r="D67" s="11"/>
      <c r="E67" s="11"/>
      <c r="F67" s="11"/>
      <c r="G67" s="11"/>
      <c r="H67" s="11"/>
      <c r="I67" s="12"/>
    </row>
    <row r="68" ht="44.25" customHeight="1">
      <c r="A68" t="s" s="49">
        <v>42</v>
      </c>
      <c r="B68" s="11"/>
      <c r="C68" s="11"/>
      <c r="D68" s="11"/>
      <c r="E68" s="11"/>
      <c r="F68" s="11"/>
      <c r="G68" s="11"/>
      <c r="H68" s="11"/>
      <c r="I68" s="12"/>
    </row>
    <row r="69" ht="22.5" customHeight="1">
      <c r="A69" s="50">
        <v>2040</v>
      </c>
      <c r="B69" s="51"/>
      <c r="C69" t="s" s="52">
        <v>65</v>
      </c>
      <c r="D69" s="88"/>
      <c r="E69" s="11"/>
      <c r="F69" s="66"/>
      <c r="G69" s="70"/>
      <c r="H69" s="75"/>
      <c r="I69" s="92"/>
    </row>
    <row r="70" ht="22.5" customHeight="1">
      <c r="A70" t="s" s="65">
        <v>73</v>
      </c>
      <c r="B70" s="11"/>
      <c r="C70" s="53">
        <v>781</v>
      </c>
      <c r="D70" s="53"/>
      <c r="E70" t="s" s="52">
        <v>44</v>
      </c>
      <c r="F70" s="66"/>
      <c r="G70" s="71">
        <v>0.5600000000000001</v>
      </c>
      <c r="H70" s="71"/>
      <c r="I70" t="s" s="93">
        <v>74</v>
      </c>
    </row>
    <row r="71" ht="22.5" customHeight="1">
      <c r="A71" t="s" s="65">
        <v>75</v>
      </c>
      <c r="B71" s="11"/>
      <c r="C71" s="53">
        <v>554</v>
      </c>
      <c r="D71" s="53"/>
      <c r="E71" t="s" s="52">
        <v>44</v>
      </c>
      <c r="F71" s="11"/>
      <c r="G71" s="71">
        <v>0.39</v>
      </c>
      <c r="H71" s="67"/>
      <c r="I71" t="s" s="93">
        <v>76</v>
      </c>
    </row>
    <row r="72" ht="27.75" customHeight="1">
      <c r="A72" s="10"/>
      <c r="B72" s="11"/>
      <c r="C72" s="56"/>
      <c r="D72" s="56"/>
      <c r="E72" s="11"/>
      <c r="F72" s="11"/>
      <c r="G72" t="s" s="94">
        <v>69</v>
      </c>
      <c r="H72" s="95"/>
      <c r="I72" s="96"/>
    </row>
    <row r="73" ht="22.5" customHeight="1">
      <c r="A73" s="50">
        <v>2020</v>
      </c>
      <c r="B73" s="51"/>
      <c r="C73" t="s" s="52">
        <v>37</v>
      </c>
      <c r="D73" s="66"/>
      <c r="E73" s="66"/>
      <c r="F73" s="47"/>
      <c r="G73" s="11"/>
      <c r="H73" s="11"/>
      <c r="I73" s="12"/>
    </row>
    <row r="74" ht="22.5" customHeight="1">
      <c r="A74" s="10"/>
      <c r="B74" t="s" s="52">
        <v>47</v>
      </c>
      <c r="C74" s="11"/>
      <c r="D74" s="70"/>
      <c r="E74" t="s" s="72">
        <v>50</v>
      </c>
      <c r="F74" s="53"/>
      <c r="G74" s="53"/>
      <c r="H74" t="s" s="52">
        <v>45</v>
      </c>
      <c r="I74" s="12"/>
    </row>
    <row r="75" ht="22.5" customHeight="1">
      <c r="A75" s="10"/>
      <c r="B75" t="s" s="52">
        <v>49</v>
      </c>
      <c r="C75" s="11"/>
      <c r="D75" s="70"/>
      <c r="E75" t="s" s="72">
        <v>48</v>
      </c>
      <c r="F75" s="73"/>
      <c r="G75" s="73"/>
      <c r="H75" t="s" s="52">
        <v>45</v>
      </c>
      <c r="I75" s="12"/>
    </row>
    <row r="76" ht="22.5" customHeight="1">
      <c r="A76" s="10"/>
      <c r="B76" s="11"/>
      <c r="C76" s="11"/>
      <c r="D76" s="11"/>
      <c r="E76" s="11"/>
      <c r="F76" s="11"/>
      <c r="G76" s="11"/>
      <c r="H76" s="11"/>
      <c r="I76" s="12"/>
    </row>
    <row r="77" ht="22.5" customHeight="1">
      <c r="A77" s="10"/>
      <c r="B77" s="11"/>
      <c r="C77" s="11"/>
      <c r="D77" s="11"/>
      <c r="E77" s="11"/>
      <c r="F77" s="11"/>
      <c r="G77" s="11"/>
      <c r="H77" s="11"/>
      <c r="I77" s="12"/>
    </row>
    <row r="78" ht="22.5" customHeight="1">
      <c r="A78" s="10"/>
      <c r="B78" s="11"/>
      <c r="C78" s="11"/>
      <c r="D78" s="11"/>
      <c r="E78" s="11"/>
      <c r="F78" s="11"/>
      <c r="G78" s="11"/>
      <c r="H78" s="11"/>
      <c r="I78" s="12"/>
    </row>
    <row r="79" ht="22.5" customHeight="1">
      <c r="A79" s="10"/>
      <c r="B79" s="11"/>
      <c r="C79" s="11"/>
      <c r="D79" s="11"/>
      <c r="E79" s="11"/>
      <c r="F79" s="11"/>
      <c r="G79" s="11"/>
      <c r="H79" s="11"/>
      <c r="I79" s="12"/>
    </row>
    <row r="80" ht="22.5" customHeight="1">
      <c r="A80" s="10"/>
      <c r="B80" s="11"/>
      <c r="C80" s="11"/>
      <c r="D80" s="11"/>
      <c r="E80" s="11"/>
      <c r="F80" s="11"/>
      <c r="G80" s="11"/>
      <c r="H80" s="11"/>
      <c r="I80" s="12"/>
    </row>
    <row r="81" ht="22.5" customHeight="1">
      <c r="A81" s="10"/>
      <c r="B81" s="11"/>
      <c r="C81" s="11"/>
      <c r="D81" s="11"/>
      <c r="E81" s="11"/>
      <c r="F81" s="11"/>
      <c r="G81" s="11"/>
      <c r="H81" s="11"/>
      <c r="I81" s="12"/>
    </row>
    <row r="82" ht="22.5" customHeight="1">
      <c r="A82" s="10"/>
      <c r="B82" s="11"/>
      <c r="C82" s="11"/>
      <c r="D82" s="11"/>
      <c r="E82" s="11"/>
      <c r="F82" s="11"/>
      <c r="G82" s="11"/>
      <c r="H82" s="11"/>
      <c r="I82" s="12"/>
    </row>
    <row r="83" ht="22.5" customHeight="1">
      <c r="A83" s="10"/>
      <c r="B83" s="11"/>
      <c r="C83" s="11"/>
      <c r="D83" s="11"/>
      <c r="E83" s="11"/>
      <c r="F83" s="11"/>
      <c r="G83" s="11"/>
      <c r="H83" s="11"/>
      <c r="I83" s="12"/>
    </row>
    <row r="84" ht="22.5" customHeight="1">
      <c r="A84" s="10"/>
      <c r="B84" s="11"/>
      <c r="C84" s="11"/>
      <c r="D84" s="11"/>
      <c r="E84" s="11"/>
      <c r="F84" s="11"/>
      <c r="G84" s="11"/>
      <c r="H84" s="11"/>
      <c r="I84" s="12"/>
    </row>
    <row r="85" ht="22.5" customHeight="1">
      <c r="A85" s="10"/>
      <c r="B85" s="11"/>
      <c r="C85" s="11"/>
      <c r="D85" s="11"/>
      <c r="E85" s="11"/>
      <c r="F85" s="11"/>
      <c r="G85" s="11"/>
      <c r="H85" s="11"/>
      <c r="I85" s="12"/>
    </row>
    <row r="86" ht="22.5" customHeight="1">
      <c r="A86" s="10"/>
      <c r="B86" s="11"/>
      <c r="C86" s="11"/>
      <c r="D86" s="11"/>
      <c r="E86" s="11"/>
      <c r="F86" s="11"/>
      <c r="G86" s="11"/>
      <c r="H86" s="11"/>
      <c r="I86" s="12"/>
    </row>
    <row r="87" ht="22.5" customHeight="1">
      <c r="A87" s="10"/>
      <c r="B87" s="11"/>
      <c r="C87" s="11"/>
      <c r="D87" s="11"/>
      <c r="E87" s="11"/>
      <c r="F87" s="11"/>
      <c r="G87" s="11"/>
      <c r="H87" s="11"/>
      <c r="I87" s="12"/>
    </row>
    <row r="88" ht="22.5" customHeight="1">
      <c r="A88" s="10"/>
      <c r="B88" s="11"/>
      <c r="C88" s="11"/>
      <c r="D88" s="11"/>
      <c r="E88" s="11"/>
      <c r="F88" s="11"/>
      <c r="G88" s="11"/>
      <c r="H88" s="11"/>
      <c r="I88" s="12"/>
    </row>
    <row r="89" ht="22.5" customHeight="1">
      <c r="A89" s="10"/>
      <c r="B89" s="11"/>
      <c r="C89" s="11"/>
      <c r="D89" s="11"/>
      <c r="E89" s="11"/>
      <c r="F89" s="11"/>
      <c r="G89" s="11"/>
      <c r="H89" s="11"/>
      <c r="I89" s="12"/>
    </row>
    <row r="90" ht="22.5" customHeight="1">
      <c r="A90" s="10"/>
      <c r="B90" s="11"/>
      <c r="C90" s="11"/>
      <c r="D90" s="11"/>
      <c r="E90" s="11"/>
      <c r="F90" s="11"/>
      <c r="G90" s="11"/>
      <c r="H90" s="11"/>
      <c r="I90" s="12"/>
    </row>
    <row r="91" ht="22.5" customHeight="1">
      <c r="A91" s="10"/>
      <c r="B91" s="11"/>
      <c r="C91" s="11"/>
      <c r="D91" s="11"/>
      <c r="E91" s="11"/>
      <c r="F91" s="11"/>
      <c r="G91" s="11"/>
      <c r="H91" s="11"/>
      <c r="I91" s="12"/>
    </row>
    <row r="92" ht="22.5" customHeight="1">
      <c r="A92" s="10"/>
      <c r="B92" s="11"/>
      <c r="C92" s="11"/>
      <c r="D92" s="11"/>
      <c r="E92" s="11"/>
      <c r="F92" s="11"/>
      <c r="G92" s="11"/>
      <c r="H92" s="11"/>
      <c r="I92" s="12"/>
    </row>
    <row r="93" ht="22.5" customHeight="1">
      <c r="A93" s="10"/>
      <c r="B93" s="11"/>
      <c r="C93" s="11"/>
      <c r="D93" s="11"/>
      <c r="E93" s="11"/>
      <c r="F93" s="11"/>
      <c r="G93" s="11"/>
      <c r="H93" s="11"/>
      <c r="I93" s="12"/>
    </row>
    <row r="94" ht="22.5" customHeight="1">
      <c r="A94" s="10"/>
      <c r="B94" s="11"/>
      <c r="C94" s="11"/>
      <c r="D94" s="11"/>
      <c r="E94" s="11"/>
      <c r="F94" s="11"/>
      <c r="G94" s="11"/>
      <c r="H94" s="11"/>
      <c r="I94" s="12"/>
    </row>
    <row r="95" ht="22.5" customHeight="1">
      <c r="A95" s="10"/>
      <c r="B95" s="11"/>
      <c r="C95" s="11"/>
      <c r="D95" s="11"/>
      <c r="E95" s="11"/>
      <c r="F95" s="11"/>
      <c r="G95" s="11"/>
      <c r="H95" s="11"/>
      <c r="I95" s="12"/>
    </row>
    <row r="96" ht="22.5" customHeight="1">
      <c r="A96" s="10"/>
      <c r="B96" s="11"/>
      <c r="C96" s="11"/>
      <c r="D96" s="11"/>
      <c r="E96" s="11"/>
      <c r="F96" s="11"/>
      <c r="G96" s="11"/>
      <c r="H96" s="11"/>
      <c r="I96" s="12"/>
    </row>
    <row r="97" ht="22.5" customHeight="1">
      <c r="A97" s="10"/>
      <c r="B97" s="11"/>
      <c r="C97" s="11"/>
      <c r="D97" s="11"/>
      <c r="E97" s="11"/>
      <c r="F97" s="11"/>
      <c r="G97" s="11"/>
      <c r="H97" s="11"/>
      <c r="I97" s="12"/>
    </row>
    <row r="98" ht="22.5" customHeight="1">
      <c r="A98" s="10"/>
      <c r="B98" s="11"/>
      <c r="C98" s="11"/>
      <c r="D98" s="11"/>
      <c r="E98" s="11"/>
      <c r="F98" s="11"/>
      <c r="G98" s="11"/>
      <c r="H98" s="11"/>
      <c r="I98" s="12"/>
    </row>
    <row r="99" ht="22.5" customHeight="1">
      <c r="A99" s="10"/>
      <c r="B99" s="11"/>
      <c r="C99" s="11"/>
      <c r="D99" s="11"/>
      <c r="E99" s="11"/>
      <c r="F99" s="11"/>
      <c r="G99" s="11"/>
      <c r="H99" s="11"/>
      <c r="I99" s="12"/>
    </row>
    <row r="100" ht="22.5" customHeight="1">
      <c r="A100" s="10"/>
      <c r="B100" s="11"/>
      <c r="C100" s="11"/>
      <c r="D100" s="11"/>
      <c r="E100" s="11"/>
      <c r="F100" s="11"/>
      <c r="G100" s="11"/>
      <c r="H100" s="11"/>
      <c r="I100" s="12"/>
    </row>
    <row r="101" ht="40.5" customHeight="1">
      <c r="A101" t="s" s="49">
        <v>52</v>
      </c>
      <c r="B101" s="11"/>
      <c r="C101" s="11"/>
      <c r="D101" s="11"/>
      <c r="E101" s="11"/>
      <c r="F101" s="11"/>
      <c r="G101" s="11"/>
      <c r="H101" s="11"/>
      <c r="I101" s="12"/>
    </row>
    <row r="102" ht="22.5" customHeight="1">
      <c r="A102" s="50">
        <v>2030</v>
      </c>
      <c r="B102" s="51"/>
      <c r="C102" t="s" s="52">
        <v>77</v>
      </c>
      <c r="D102" s="97"/>
      <c r="E102" s="11"/>
      <c r="F102" s="11"/>
      <c r="G102" s="11"/>
      <c r="H102" s="11"/>
      <c r="I102" s="12"/>
    </row>
    <row r="103" ht="27.75" customHeight="1">
      <c r="A103" s="50">
        <v>2020</v>
      </c>
      <c r="B103" s="51"/>
      <c r="C103" t="s" s="52">
        <v>54</v>
      </c>
      <c r="D103" s="75"/>
      <c r="E103" s="11"/>
      <c r="F103" s="11"/>
      <c r="G103" s="78">
        <v>-60</v>
      </c>
      <c r="H103" t="s" s="46">
        <v>39</v>
      </c>
      <c r="I103" s="12"/>
    </row>
    <row r="104" ht="22.5" customHeight="1">
      <c r="A104" t="s" s="79">
        <v>55</v>
      </c>
      <c r="B104" s="11"/>
      <c r="C104" s="78">
        <v>-86</v>
      </c>
      <c r="D104" t="s" s="52">
        <v>78</v>
      </c>
      <c r="E104" s="66"/>
      <c r="F104" s="11"/>
      <c r="G104" s="78">
        <v>-105</v>
      </c>
      <c r="H104" t="s" s="52">
        <v>39</v>
      </c>
      <c r="I104" s="12"/>
    </row>
    <row r="105" ht="22.5" customHeight="1">
      <c r="A105" t="s" s="65">
        <v>57</v>
      </c>
      <c r="B105" s="11"/>
      <c r="C105" s="78">
        <v>-60</v>
      </c>
      <c r="D105" t="s" s="52">
        <v>30</v>
      </c>
      <c r="E105" s="66"/>
      <c r="F105" s="47"/>
      <c r="G105" s="11"/>
      <c r="H105" s="11"/>
      <c r="I105" s="12"/>
    </row>
    <row r="106" ht="22.5" customHeight="1">
      <c r="A106" s="10"/>
      <c r="B106" s="11"/>
      <c r="C106" s="11"/>
      <c r="D106" s="11"/>
      <c r="E106" s="11"/>
      <c r="F106" s="11"/>
      <c r="G106" s="11"/>
      <c r="H106" s="11"/>
      <c r="I106" s="12"/>
    </row>
    <row r="107" ht="22.5" customHeight="1">
      <c r="A107" s="10"/>
      <c r="B107" s="11"/>
      <c r="C107" s="11"/>
      <c r="D107" s="11"/>
      <c r="E107" s="11"/>
      <c r="F107" s="11"/>
      <c r="G107" s="11"/>
      <c r="H107" s="11"/>
      <c r="I107" s="12"/>
    </row>
    <row r="108" ht="22.5" customHeight="1">
      <c r="A108" s="10"/>
      <c r="B108" s="11"/>
      <c r="C108" s="11"/>
      <c r="D108" s="11"/>
      <c r="E108" s="11"/>
      <c r="F108" s="11"/>
      <c r="G108" s="11"/>
      <c r="H108" s="11"/>
      <c r="I108" s="12"/>
    </row>
    <row r="109" ht="22.5" customHeight="1">
      <c r="A109" s="10"/>
      <c r="B109" s="11"/>
      <c r="C109" s="11"/>
      <c r="D109" s="11"/>
      <c r="E109" s="11"/>
      <c r="F109" s="11"/>
      <c r="G109" s="11"/>
      <c r="H109" s="11"/>
      <c r="I109" s="12"/>
    </row>
    <row r="110" ht="22.5" customHeight="1">
      <c r="A110" s="10"/>
      <c r="B110" s="11"/>
      <c r="C110" s="11"/>
      <c r="D110" s="11"/>
      <c r="E110" s="11"/>
      <c r="F110" s="11"/>
      <c r="G110" s="11"/>
      <c r="H110" s="11"/>
      <c r="I110" s="12"/>
    </row>
    <row r="111" ht="22.5" customHeight="1">
      <c r="A111" s="10"/>
      <c r="B111" s="11"/>
      <c r="C111" s="11"/>
      <c r="D111" s="11"/>
      <c r="E111" s="11"/>
      <c r="F111" s="11"/>
      <c r="G111" s="11"/>
      <c r="H111" s="11"/>
      <c r="I111" s="12"/>
    </row>
    <row r="112" ht="22.5" customHeight="1">
      <c r="A112" s="10"/>
      <c r="B112" s="11"/>
      <c r="C112" s="11"/>
      <c r="D112" s="11"/>
      <c r="E112" s="11"/>
      <c r="F112" s="11"/>
      <c r="G112" s="11"/>
      <c r="H112" s="11"/>
      <c r="I112" s="12"/>
    </row>
    <row r="113" ht="22.5" customHeight="1">
      <c r="A113" s="10"/>
      <c r="B113" s="11"/>
      <c r="C113" s="11"/>
      <c r="D113" s="11"/>
      <c r="E113" s="11"/>
      <c r="F113" s="11"/>
      <c r="G113" s="11"/>
      <c r="H113" s="11"/>
      <c r="I113" s="12"/>
    </row>
    <row r="114" ht="22.5" customHeight="1">
      <c r="A114" s="10"/>
      <c r="B114" s="11"/>
      <c r="C114" s="11"/>
      <c r="D114" s="11"/>
      <c r="E114" s="11"/>
      <c r="F114" s="11"/>
      <c r="G114" s="11"/>
      <c r="H114" s="11"/>
      <c r="I114" s="12"/>
    </row>
    <row r="115" ht="22.5" customHeight="1">
      <c r="A115" s="10"/>
      <c r="B115" s="11"/>
      <c r="C115" s="11"/>
      <c r="D115" s="11"/>
      <c r="E115" s="11"/>
      <c r="F115" s="11"/>
      <c r="G115" s="11"/>
      <c r="H115" s="11"/>
      <c r="I115" s="12"/>
    </row>
    <row r="116" ht="22.5" customHeight="1">
      <c r="A116" s="10"/>
      <c r="B116" s="11"/>
      <c r="C116" s="11"/>
      <c r="D116" s="11"/>
      <c r="E116" s="11"/>
      <c r="F116" s="11"/>
      <c r="G116" s="11"/>
      <c r="H116" s="11"/>
      <c r="I116" s="12"/>
    </row>
    <row r="117" ht="22.5" customHeight="1">
      <c r="A117" s="10"/>
      <c r="B117" s="11"/>
      <c r="C117" s="11"/>
      <c r="D117" s="11"/>
      <c r="E117" s="11"/>
      <c r="F117" s="11"/>
      <c r="G117" s="11"/>
      <c r="H117" s="11"/>
      <c r="I117" s="12"/>
    </row>
    <row r="118" ht="22.5" customHeight="1">
      <c r="A118" s="10"/>
      <c r="B118" s="11"/>
      <c r="C118" s="11"/>
      <c r="D118" s="11"/>
      <c r="E118" s="11"/>
      <c r="F118" s="11"/>
      <c r="G118" s="11"/>
      <c r="H118" s="11"/>
      <c r="I118" s="12"/>
    </row>
    <row r="119" ht="22.5" customHeight="1">
      <c r="A119" s="10"/>
      <c r="B119" s="11"/>
      <c r="C119" s="11"/>
      <c r="D119" s="11"/>
      <c r="E119" s="11"/>
      <c r="F119" s="11"/>
      <c r="G119" s="11"/>
      <c r="H119" s="11"/>
      <c r="I119" s="12"/>
    </row>
    <row r="120" ht="22.5" customHeight="1">
      <c r="A120" s="10"/>
      <c r="B120" s="11"/>
      <c r="C120" s="11"/>
      <c r="D120" s="11"/>
      <c r="E120" s="11"/>
      <c r="F120" s="11"/>
      <c r="G120" s="11"/>
      <c r="H120" s="11"/>
      <c r="I120" s="12"/>
    </row>
    <row r="121" ht="22.5" customHeight="1">
      <c r="A121" s="10"/>
      <c r="B121" s="11"/>
      <c r="C121" s="11"/>
      <c r="D121" s="11"/>
      <c r="E121" s="11"/>
      <c r="F121" s="11"/>
      <c r="G121" s="11"/>
      <c r="H121" s="11"/>
      <c r="I121" s="12"/>
    </row>
    <row r="122" ht="22.5" customHeight="1">
      <c r="A122" s="10"/>
      <c r="B122" s="11"/>
      <c r="C122" s="11"/>
      <c r="D122" s="11"/>
      <c r="E122" s="11"/>
      <c r="F122" s="11"/>
      <c r="G122" s="11"/>
      <c r="H122" s="11"/>
      <c r="I122" s="12"/>
    </row>
    <row r="123" ht="22.5" customHeight="1">
      <c r="A123" s="10"/>
      <c r="B123" s="11"/>
      <c r="C123" s="11"/>
      <c r="D123" s="11"/>
      <c r="E123" s="11"/>
      <c r="F123" s="11"/>
      <c r="G123" s="11"/>
      <c r="H123" s="11"/>
      <c r="I123" s="12"/>
    </row>
    <row r="124" ht="22.5" customHeight="1">
      <c r="A124" s="10"/>
      <c r="B124" s="11"/>
      <c r="C124" s="11"/>
      <c r="D124" s="11"/>
      <c r="E124" s="11"/>
      <c r="F124" s="11"/>
      <c r="G124" s="11"/>
      <c r="H124" s="11"/>
      <c r="I124" s="12"/>
    </row>
    <row r="125" ht="22.5" customHeight="1">
      <c r="A125" s="10"/>
      <c r="B125" s="11"/>
      <c r="C125" s="11"/>
      <c r="D125" s="11"/>
      <c r="E125" s="11"/>
      <c r="F125" s="11"/>
      <c r="G125" s="11"/>
      <c r="H125" s="11"/>
      <c r="I125" s="12"/>
    </row>
    <row r="126" ht="22.5" customHeight="1">
      <c r="A126" s="10"/>
      <c r="B126" s="11"/>
      <c r="C126" s="11"/>
      <c r="D126" s="11"/>
      <c r="E126" s="11"/>
      <c r="F126" s="11"/>
      <c r="G126" s="11"/>
      <c r="H126" s="11"/>
      <c r="I126" s="12"/>
    </row>
    <row r="127" ht="22.5" customHeight="1">
      <c r="A127" s="10"/>
      <c r="B127" s="11"/>
      <c r="C127" s="11"/>
      <c r="D127" s="11"/>
      <c r="E127" s="11"/>
      <c r="F127" s="11"/>
      <c r="G127" s="11"/>
      <c r="H127" s="11"/>
      <c r="I127" s="12"/>
    </row>
    <row r="128" ht="22.5" customHeight="1">
      <c r="A128" s="10"/>
      <c r="B128" s="11"/>
      <c r="C128" s="11"/>
      <c r="D128" s="11"/>
      <c r="E128" s="11"/>
      <c r="F128" s="11"/>
      <c r="G128" s="11"/>
      <c r="H128" s="11"/>
      <c r="I128" s="12"/>
    </row>
    <row r="129" ht="22.5" customHeight="1">
      <c r="A129" s="10"/>
      <c r="B129" s="11"/>
      <c r="C129" s="11"/>
      <c r="D129" s="11"/>
      <c r="E129" s="11"/>
      <c r="F129" s="11"/>
      <c r="G129" s="11"/>
      <c r="H129" s="11"/>
      <c r="I129" s="12"/>
    </row>
    <row r="130" ht="22.5" customHeight="1">
      <c r="A130" s="10"/>
      <c r="B130" s="11"/>
      <c r="C130" s="11"/>
      <c r="D130" s="11"/>
      <c r="E130" s="11"/>
      <c r="F130" s="11"/>
      <c r="G130" s="11"/>
      <c r="H130" s="11"/>
      <c r="I130" s="12"/>
    </row>
    <row r="131" ht="22.5" customHeight="1">
      <c r="A131" s="10"/>
      <c r="B131" s="11"/>
      <c r="C131" s="11"/>
      <c r="D131" s="11"/>
      <c r="E131" s="11"/>
      <c r="F131" s="11"/>
      <c r="G131" s="11"/>
      <c r="H131" s="11"/>
      <c r="I131" s="12"/>
    </row>
    <row r="132" ht="22.5" customHeight="1">
      <c r="A132" s="10"/>
      <c r="B132" s="11"/>
      <c r="C132" s="11"/>
      <c r="D132" s="11"/>
      <c r="E132" s="11"/>
      <c r="F132" s="11"/>
      <c r="G132" s="11"/>
      <c r="H132" s="11"/>
      <c r="I132" s="12"/>
    </row>
    <row r="133" ht="22.5" customHeight="1">
      <c r="A133" s="10"/>
      <c r="B133" s="11"/>
      <c r="C133" s="11"/>
      <c r="D133" s="11"/>
      <c r="E133" s="11"/>
      <c r="F133" s="11"/>
      <c r="G133" s="11"/>
      <c r="H133" s="11"/>
      <c r="I133" s="12"/>
    </row>
    <row r="134" ht="22.5" customHeight="1">
      <c r="A134" s="10"/>
      <c r="B134" s="11"/>
      <c r="C134" s="11"/>
      <c r="D134" s="11"/>
      <c r="E134" s="11"/>
      <c r="F134" s="11"/>
      <c r="G134" s="11"/>
      <c r="H134" s="11"/>
      <c r="I134" s="12"/>
    </row>
    <row r="135" ht="22.5" customHeight="1">
      <c r="A135" s="10"/>
      <c r="B135" s="11"/>
      <c r="C135" s="11"/>
      <c r="D135" s="11"/>
      <c r="E135" s="11"/>
      <c r="F135" s="11"/>
      <c r="G135" s="11"/>
      <c r="H135" s="11"/>
      <c r="I135" s="12"/>
    </row>
    <row r="136" ht="22.5" customHeight="1">
      <c r="A136" s="50">
        <v>2040</v>
      </c>
      <c r="B136" s="51"/>
      <c r="C136" t="s" s="52">
        <v>77</v>
      </c>
      <c r="D136" s="11"/>
      <c r="E136" s="11"/>
      <c r="F136" s="11"/>
      <c r="G136" s="11"/>
      <c r="H136" s="11"/>
      <c r="I136" s="12"/>
    </row>
    <row r="137" ht="22.5" customHeight="1">
      <c r="A137" s="50">
        <v>2020</v>
      </c>
      <c r="B137" s="51"/>
      <c r="C137" t="s" s="52">
        <v>54</v>
      </c>
      <c r="D137" s="75"/>
      <c r="E137" s="11"/>
      <c r="F137" s="11"/>
      <c r="G137" s="78">
        <v>-93</v>
      </c>
      <c r="H137" t="s" s="46">
        <v>39</v>
      </c>
      <c r="I137" s="12"/>
    </row>
    <row r="138" ht="22.5" customHeight="1">
      <c r="A138" t="s" s="79">
        <v>55</v>
      </c>
      <c r="B138" s="11"/>
      <c r="C138" s="78">
        <v>-128</v>
      </c>
      <c r="D138" t="s" s="52">
        <v>78</v>
      </c>
      <c r="E138" s="66"/>
      <c r="F138" s="11"/>
      <c r="G138" s="78">
        <v>-179</v>
      </c>
      <c r="H138" t="s" s="52">
        <v>39</v>
      </c>
      <c r="I138" s="12"/>
    </row>
    <row r="139" ht="22.5" customHeight="1">
      <c r="A139" t="s" s="65">
        <v>57</v>
      </c>
      <c r="B139" s="11"/>
      <c r="C139" s="78">
        <v>-158</v>
      </c>
      <c r="D139" t="s" s="52">
        <v>30</v>
      </c>
      <c r="E139" s="66"/>
      <c r="F139" s="47"/>
      <c r="G139" s="11"/>
      <c r="H139" s="11"/>
      <c r="I139" s="12"/>
    </row>
    <row r="140" ht="22.5" customHeight="1">
      <c r="A140" s="10"/>
      <c r="B140" s="11"/>
      <c r="C140" s="11"/>
      <c r="D140" s="11"/>
      <c r="E140" s="11"/>
      <c r="F140" s="11"/>
      <c r="G140" s="11"/>
      <c r="H140" s="11"/>
      <c r="I140" s="12"/>
    </row>
    <row r="141" ht="22.5" customHeight="1">
      <c r="A141" s="10"/>
      <c r="B141" s="11"/>
      <c r="C141" s="11"/>
      <c r="D141" s="11"/>
      <c r="E141" s="11"/>
      <c r="F141" s="11"/>
      <c r="G141" s="11"/>
      <c r="H141" s="11"/>
      <c r="I141" s="12"/>
    </row>
    <row r="142" ht="22.5" customHeight="1">
      <c r="A142" s="10"/>
      <c r="B142" s="11"/>
      <c r="C142" s="11"/>
      <c r="D142" s="11"/>
      <c r="E142" s="11"/>
      <c r="F142" s="11"/>
      <c r="G142" s="11"/>
      <c r="H142" s="11"/>
      <c r="I142" s="12"/>
    </row>
    <row r="143" ht="22.5" customHeight="1">
      <c r="A143" s="10"/>
      <c r="B143" s="11"/>
      <c r="C143" s="11"/>
      <c r="D143" s="11"/>
      <c r="E143" s="11"/>
      <c r="F143" s="11"/>
      <c r="G143" s="11"/>
      <c r="H143" s="11"/>
      <c r="I143" s="12"/>
    </row>
    <row r="144" ht="22.5" customHeight="1">
      <c r="A144" s="10"/>
      <c r="B144" s="11"/>
      <c r="C144" s="11"/>
      <c r="D144" s="11"/>
      <c r="E144" s="11"/>
      <c r="F144" s="11"/>
      <c r="G144" s="11"/>
      <c r="H144" s="11"/>
      <c r="I144" s="12"/>
    </row>
    <row r="145" ht="22.5" customHeight="1">
      <c r="A145" s="10"/>
      <c r="B145" s="11"/>
      <c r="C145" s="11"/>
      <c r="D145" s="11"/>
      <c r="E145" s="11"/>
      <c r="F145" s="11"/>
      <c r="G145" s="11"/>
      <c r="H145" s="11"/>
      <c r="I145" s="12"/>
    </row>
    <row r="146" ht="22.5" customHeight="1">
      <c r="A146" s="10"/>
      <c r="B146" s="11"/>
      <c r="C146" s="11"/>
      <c r="D146" s="11"/>
      <c r="E146" s="11"/>
      <c r="F146" s="11"/>
      <c r="G146" s="11"/>
      <c r="H146" s="11"/>
      <c r="I146" s="12"/>
    </row>
    <row r="147" ht="22.5" customHeight="1">
      <c r="A147" s="10"/>
      <c r="B147" s="11"/>
      <c r="C147" s="11"/>
      <c r="D147" s="11"/>
      <c r="E147" s="11"/>
      <c r="F147" s="11"/>
      <c r="G147" s="11"/>
      <c r="H147" s="11"/>
      <c r="I147" s="12"/>
    </row>
    <row r="148" ht="22.5" customHeight="1">
      <c r="A148" s="10"/>
      <c r="B148" s="11"/>
      <c r="C148" s="11"/>
      <c r="D148" s="11"/>
      <c r="E148" s="11"/>
      <c r="F148" s="11"/>
      <c r="G148" s="11"/>
      <c r="H148" s="11"/>
      <c r="I148" s="12"/>
    </row>
    <row r="149" ht="22.5" customHeight="1">
      <c r="A149" s="10"/>
      <c r="B149" s="11"/>
      <c r="C149" s="11"/>
      <c r="D149" s="11"/>
      <c r="E149" s="11"/>
      <c r="F149" s="11"/>
      <c r="G149" s="11"/>
      <c r="H149" s="11"/>
      <c r="I149" s="12"/>
    </row>
    <row r="150" ht="22.5" customHeight="1">
      <c r="A150" s="10"/>
      <c r="B150" s="11"/>
      <c r="C150" s="11"/>
      <c r="D150" s="11"/>
      <c r="E150" s="11"/>
      <c r="F150" s="11"/>
      <c r="G150" s="11"/>
      <c r="H150" s="11"/>
      <c r="I150" s="12"/>
    </row>
    <row r="151" ht="22.5" customHeight="1">
      <c r="A151" s="10"/>
      <c r="B151" s="11"/>
      <c r="C151" s="11"/>
      <c r="D151" s="11"/>
      <c r="E151" s="11"/>
      <c r="F151" s="11"/>
      <c r="G151" s="11"/>
      <c r="H151" s="11"/>
      <c r="I151" s="12"/>
    </row>
    <row r="152" ht="22.5" customHeight="1">
      <c r="A152" s="10"/>
      <c r="B152" s="11"/>
      <c r="C152" s="11"/>
      <c r="D152" s="11"/>
      <c r="E152" s="11"/>
      <c r="F152" s="11"/>
      <c r="G152" s="11"/>
      <c r="H152" s="11"/>
      <c r="I152" s="12"/>
    </row>
    <row r="153" ht="22.5" customHeight="1">
      <c r="A153" s="10"/>
      <c r="B153" s="11"/>
      <c r="C153" s="11"/>
      <c r="D153" s="11"/>
      <c r="E153" s="11"/>
      <c r="F153" s="11"/>
      <c r="G153" s="11"/>
      <c r="H153" s="11"/>
      <c r="I153" s="12"/>
    </row>
    <row r="154" ht="22.5" customHeight="1">
      <c r="A154" s="10"/>
      <c r="B154" s="11"/>
      <c r="C154" s="11"/>
      <c r="D154" s="11"/>
      <c r="E154" s="11"/>
      <c r="F154" s="11"/>
      <c r="G154" s="11"/>
      <c r="H154" s="11"/>
      <c r="I154" s="12"/>
    </row>
    <row r="155" ht="22.5" customHeight="1">
      <c r="A155" s="10"/>
      <c r="B155" s="11"/>
      <c r="C155" s="11"/>
      <c r="D155" s="11"/>
      <c r="E155" s="11"/>
      <c r="F155" s="11"/>
      <c r="G155" s="11"/>
      <c r="H155" s="11"/>
      <c r="I155" s="12"/>
    </row>
    <row r="156" ht="22.5" customHeight="1">
      <c r="A156" s="10"/>
      <c r="B156" s="11"/>
      <c r="C156" s="11"/>
      <c r="D156" s="11"/>
      <c r="E156" s="11"/>
      <c r="F156" s="11"/>
      <c r="G156" s="11"/>
      <c r="H156" s="11"/>
      <c r="I156" s="12"/>
    </row>
    <row r="157" ht="22.5" customHeight="1">
      <c r="A157" s="10"/>
      <c r="B157" s="11"/>
      <c r="C157" s="11"/>
      <c r="D157" s="11"/>
      <c r="E157" s="11"/>
      <c r="F157" s="11"/>
      <c r="G157" s="11"/>
      <c r="H157" s="11"/>
      <c r="I157" s="12"/>
    </row>
    <row r="158" ht="22.5" customHeight="1">
      <c r="A158" s="10"/>
      <c r="B158" s="11"/>
      <c r="C158" s="11"/>
      <c r="D158" s="11"/>
      <c r="E158" s="11"/>
      <c r="F158" s="11"/>
      <c r="G158" s="11"/>
      <c r="H158" s="11"/>
      <c r="I158" s="12"/>
    </row>
    <row r="159" ht="22.5" customHeight="1">
      <c r="A159" s="10"/>
      <c r="B159" s="11"/>
      <c r="C159" s="11"/>
      <c r="D159" s="11"/>
      <c r="E159" s="11"/>
      <c r="F159" s="11"/>
      <c r="G159" s="11"/>
      <c r="H159" s="11"/>
      <c r="I159" s="12"/>
    </row>
    <row r="160" ht="22.5" customHeight="1">
      <c r="A160" s="10"/>
      <c r="B160" s="11"/>
      <c r="C160" s="11"/>
      <c r="D160" s="11"/>
      <c r="E160" s="11"/>
      <c r="F160" s="11"/>
      <c r="G160" s="11"/>
      <c r="H160" s="11"/>
      <c r="I160" s="12"/>
    </row>
    <row r="161" ht="22.5" customHeight="1">
      <c r="A161" s="10"/>
      <c r="B161" s="11"/>
      <c r="C161" s="11"/>
      <c r="D161" s="11"/>
      <c r="E161" s="11"/>
      <c r="F161" s="11"/>
      <c r="G161" s="11"/>
      <c r="H161" s="11"/>
      <c r="I161" s="12"/>
    </row>
    <row r="162" ht="22.5" customHeight="1">
      <c r="A162" s="10"/>
      <c r="B162" s="11"/>
      <c r="C162" s="11"/>
      <c r="D162" s="11"/>
      <c r="E162" s="11"/>
      <c r="F162" s="11"/>
      <c r="G162" s="11"/>
      <c r="H162" s="11"/>
      <c r="I162" s="12"/>
    </row>
    <row r="163" ht="22.5" customHeight="1">
      <c r="A163" s="10"/>
      <c r="B163" s="11"/>
      <c r="C163" s="11"/>
      <c r="D163" s="11"/>
      <c r="E163" s="11"/>
      <c r="F163" s="11"/>
      <c r="G163" s="11"/>
      <c r="H163" s="11"/>
      <c r="I163" s="12"/>
    </row>
    <row r="164" ht="22.5" customHeight="1">
      <c r="A164" s="10"/>
      <c r="B164" s="11"/>
      <c r="C164" s="11"/>
      <c r="D164" s="11"/>
      <c r="E164" s="11"/>
      <c r="F164" s="11"/>
      <c r="G164" s="11"/>
      <c r="H164" s="11"/>
      <c r="I164" s="12"/>
    </row>
    <row r="165" ht="22.5" customHeight="1">
      <c r="A165" s="10"/>
      <c r="B165" s="11"/>
      <c r="C165" s="11"/>
      <c r="D165" s="11"/>
      <c r="E165" s="11"/>
      <c r="F165" s="11"/>
      <c r="G165" s="11"/>
      <c r="H165" s="11"/>
      <c r="I165" s="12"/>
    </row>
    <row r="166" ht="22.5" customHeight="1">
      <c r="A166" s="10"/>
      <c r="B166" s="11"/>
      <c r="C166" s="11"/>
      <c r="D166" s="11"/>
      <c r="E166" s="11"/>
      <c r="F166" s="11"/>
      <c r="G166" s="11"/>
      <c r="H166" s="11"/>
      <c r="I166" s="12"/>
    </row>
    <row r="167" ht="22.5" customHeight="1">
      <c r="A167" s="10"/>
      <c r="B167" s="11"/>
      <c r="C167" s="11"/>
      <c r="D167" s="11"/>
      <c r="E167" s="11"/>
      <c r="F167" s="11"/>
      <c r="G167" s="11"/>
      <c r="H167" s="11"/>
      <c r="I167" s="12"/>
    </row>
    <row r="168" ht="22.5" customHeight="1">
      <c r="A168" s="10"/>
      <c r="B168" s="11"/>
      <c r="C168" s="11"/>
      <c r="D168" s="11"/>
      <c r="E168" s="11"/>
      <c r="F168" s="11"/>
      <c r="G168" s="11"/>
      <c r="H168" s="11"/>
      <c r="I168" s="12"/>
    </row>
    <row r="169" ht="22.5" customHeight="1">
      <c r="A169" s="28"/>
      <c r="B169" s="29"/>
      <c r="C169" s="29"/>
      <c r="D169" s="29"/>
      <c r="E169" s="29"/>
      <c r="F169" s="29"/>
      <c r="G169" s="29"/>
      <c r="H169" s="29"/>
      <c r="I169" s="30"/>
    </row>
    <row r="170" ht="22.5" customHeight="1">
      <c r="A170" t="s" s="98">
        <v>79</v>
      </c>
      <c r="B170" s="58"/>
      <c r="C170" s="58"/>
      <c r="D170" s="58"/>
      <c r="E170" s="58"/>
      <c r="F170" s="58"/>
      <c r="G170" s="58"/>
      <c r="H170" s="58"/>
      <c r="I170" s="59"/>
    </row>
    <row r="171" ht="22.5" customHeight="1">
      <c r="A171" t="s" s="99">
        <v>80</v>
      </c>
      <c r="B171" s="11"/>
      <c r="C171" s="11"/>
      <c r="D171" s="11"/>
      <c r="E171" s="11"/>
      <c r="F171" s="11"/>
      <c r="G171" s="11"/>
      <c r="H171" s="11"/>
      <c r="I171" s="61"/>
    </row>
    <row r="172" ht="22.5" customHeight="1">
      <c r="A172" s="60"/>
      <c r="B172" s="11"/>
      <c r="C172" s="11"/>
      <c r="D172" s="11"/>
      <c r="E172" s="11"/>
      <c r="F172" s="11"/>
      <c r="G172" s="11"/>
      <c r="H172" s="11"/>
      <c r="I172" s="61"/>
    </row>
    <row r="173" ht="22.5" customHeight="1">
      <c r="A173" t="s" s="100">
        <v>81</v>
      </c>
      <c r="B173" s="11"/>
      <c r="C173" s="11"/>
      <c r="D173" s="11"/>
      <c r="E173" s="11"/>
      <c r="F173" s="11"/>
      <c r="G173" s="11"/>
      <c r="H173" s="11"/>
      <c r="I173" s="61"/>
    </row>
    <row r="174" ht="22.5" customHeight="1">
      <c r="A174" t="s" s="34">
        <v>11</v>
      </c>
      <c r="B174" t="s" s="35">
        <v>82</v>
      </c>
      <c r="C174" s="11"/>
      <c r="D174" s="11"/>
      <c r="E174" s="11"/>
      <c r="F174" s="11"/>
      <c r="G174" s="11"/>
      <c r="H174" s="11"/>
      <c r="I174" s="61"/>
    </row>
    <row r="175" ht="22.5" customHeight="1">
      <c r="A175" s="38"/>
      <c r="B175" t="s" s="35">
        <v>83</v>
      </c>
      <c r="C175" s="11"/>
      <c r="D175" s="11"/>
      <c r="E175" s="11"/>
      <c r="F175" s="11"/>
      <c r="G175" s="11"/>
      <c r="H175" s="11"/>
      <c r="I175" s="61"/>
    </row>
    <row r="176" ht="22.5" customHeight="1">
      <c r="A176" s="60"/>
      <c r="B176" t="s" s="35">
        <v>84</v>
      </c>
      <c r="C176" s="11"/>
      <c r="D176" s="11"/>
      <c r="E176" s="11"/>
      <c r="F176" s="11"/>
      <c r="G176" s="11"/>
      <c r="H176" s="11"/>
      <c r="I176" s="61"/>
    </row>
    <row r="177" ht="22.5" customHeight="1">
      <c r="A177" s="101"/>
      <c r="B177" s="36"/>
      <c r="C177" s="11"/>
      <c r="D177" s="11"/>
      <c r="E177" s="11"/>
      <c r="F177" s="11"/>
      <c r="G177" s="11"/>
      <c r="H177" s="11"/>
      <c r="I177" s="61"/>
    </row>
    <row r="178" ht="22.5" customHeight="1">
      <c r="A178" t="s" s="34">
        <v>14</v>
      </c>
      <c r="B178" t="s" s="35">
        <v>85</v>
      </c>
      <c r="C178" s="11"/>
      <c r="D178" s="11"/>
      <c r="E178" s="11"/>
      <c r="F178" s="11"/>
      <c r="G178" s="11"/>
      <c r="H178" s="11"/>
      <c r="I178" s="61"/>
    </row>
    <row r="179" ht="22.5" customHeight="1">
      <c r="A179" s="101"/>
      <c r="B179" s="36"/>
      <c r="C179" s="11"/>
      <c r="D179" s="11"/>
      <c r="E179" s="11"/>
      <c r="F179" s="11"/>
      <c r="G179" s="11"/>
      <c r="H179" s="11"/>
      <c r="I179" s="61"/>
    </row>
    <row r="180" ht="22.5" customHeight="1">
      <c r="A180" t="s" s="34">
        <v>18</v>
      </c>
      <c r="B180" t="s" s="35">
        <v>86</v>
      </c>
      <c r="C180" s="11"/>
      <c r="D180" s="11"/>
      <c r="E180" s="11"/>
      <c r="F180" s="11"/>
      <c r="G180" s="11"/>
      <c r="H180" s="11"/>
      <c r="I180" s="61"/>
    </row>
    <row r="181" ht="22.5" customHeight="1">
      <c r="A181" s="101"/>
      <c r="B181" s="36"/>
      <c r="C181" s="11"/>
      <c r="D181" s="11"/>
      <c r="E181" s="11"/>
      <c r="F181" s="11"/>
      <c r="G181" s="11"/>
      <c r="H181" s="11"/>
      <c r="I181" s="61"/>
    </row>
    <row r="182" ht="22.5" customHeight="1">
      <c r="A182" t="s" s="34">
        <v>87</v>
      </c>
      <c r="B182" t="s" s="35">
        <v>88</v>
      </c>
      <c r="C182" s="11"/>
      <c r="D182" s="11"/>
      <c r="E182" s="11"/>
      <c r="F182" s="11"/>
      <c r="G182" s="11"/>
      <c r="H182" s="11"/>
      <c r="I182" s="61"/>
    </row>
    <row r="183" ht="22.5" customHeight="1">
      <c r="A183" s="60"/>
      <c r="B183" t="s" s="35">
        <v>89</v>
      </c>
      <c r="C183" s="11"/>
      <c r="D183" s="11"/>
      <c r="E183" s="11"/>
      <c r="F183" s="11"/>
      <c r="G183" s="11"/>
      <c r="H183" s="11"/>
      <c r="I183" s="61"/>
    </row>
    <row r="184" ht="22.5" customHeight="1">
      <c r="A184" s="101"/>
      <c r="B184" s="36"/>
      <c r="C184" s="11"/>
      <c r="D184" s="11"/>
      <c r="E184" s="11"/>
      <c r="F184" s="11"/>
      <c r="G184" s="11"/>
      <c r="H184" s="11"/>
      <c r="I184" s="61"/>
    </row>
    <row r="185" ht="22.5" customHeight="1">
      <c r="A185" t="s" s="34">
        <v>90</v>
      </c>
      <c r="B185" t="s" s="35">
        <v>91</v>
      </c>
      <c r="C185" s="11"/>
      <c r="D185" s="11"/>
      <c r="E185" s="11"/>
      <c r="F185" s="11"/>
      <c r="G185" s="11"/>
      <c r="H185" s="11"/>
      <c r="I185" s="61"/>
    </row>
    <row r="186" ht="22.5" customHeight="1">
      <c r="A186" s="60"/>
      <c r="B186" t="s" s="35">
        <v>92</v>
      </c>
      <c r="C186" s="11"/>
      <c r="D186" s="11"/>
      <c r="E186" s="11"/>
      <c r="F186" s="11"/>
      <c r="G186" s="11"/>
      <c r="H186" s="11"/>
      <c r="I186" s="61"/>
    </row>
    <row r="187" ht="22.5" customHeight="1">
      <c r="A187" s="60"/>
      <c r="B187" s="11"/>
      <c r="C187" s="11"/>
      <c r="D187" s="11"/>
      <c r="E187" s="11"/>
      <c r="F187" s="11"/>
      <c r="G187" s="11"/>
      <c r="H187" s="11"/>
      <c r="I187" s="61"/>
    </row>
    <row r="188" ht="22.5" customHeight="1">
      <c r="A188" s="60"/>
      <c r="B188" s="11"/>
      <c r="C188" s="11"/>
      <c r="D188" s="11"/>
      <c r="E188" s="11"/>
      <c r="F188" s="11"/>
      <c r="G188" s="11"/>
      <c r="H188" s="11"/>
      <c r="I188" s="61"/>
    </row>
    <row r="189" ht="22.5" customHeight="1">
      <c r="A189" s="60"/>
      <c r="B189" s="11"/>
      <c r="C189" s="11"/>
      <c r="D189" s="11"/>
      <c r="E189" s="11"/>
      <c r="F189" s="11"/>
      <c r="G189" s="11"/>
      <c r="H189" s="11"/>
      <c r="I189" s="61"/>
    </row>
    <row r="190" ht="22.5" customHeight="1">
      <c r="A190" s="60"/>
      <c r="B190" s="11"/>
      <c r="C190" s="11"/>
      <c r="D190" s="11"/>
      <c r="E190" s="11"/>
      <c r="F190" s="11"/>
      <c r="G190" s="11"/>
      <c r="H190" s="11"/>
      <c r="I190" s="61"/>
    </row>
    <row r="191" ht="22.5" customHeight="1">
      <c r="A191" s="60"/>
      <c r="B191" s="11"/>
      <c r="C191" s="11"/>
      <c r="D191" s="11"/>
      <c r="E191" s="11"/>
      <c r="F191" s="11"/>
      <c r="G191" s="11"/>
      <c r="H191" s="11"/>
      <c r="I191" s="61"/>
    </row>
    <row r="192" ht="22.5" customHeight="1">
      <c r="A192" s="60"/>
      <c r="B192" s="11"/>
      <c r="C192" s="11"/>
      <c r="D192" s="11"/>
      <c r="E192" s="11"/>
      <c r="F192" s="11"/>
      <c r="G192" s="11"/>
      <c r="H192" s="11"/>
      <c r="I192" s="61"/>
    </row>
    <row r="193" ht="22.5" customHeight="1">
      <c r="A193" s="60"/>
      <c r="B193" s="11"/>
      <c r="C193" s="11"/>
      <c r="D193" s="11"/>
      <c r="E193" s="11"/>
      <c r="F193" s="11"/>
      <c r="G193" s="11"/>
      <c r="H193" s="11"/>
      <c r="I193" s="61"/>
    </row>
    <row r="194" ht="22.5" customHeight="1">
      <c r="A194" s="60"/>
      <c r="B194" s="11"/>
      <c r="C194" s="11"/>
      <c r="D194" s="11"/>
      <c r="E194" s="11"/>
      <c r="F194" s="11"/>
      <c r="G194" s="11"/>
      <c r="H194" s="11"/>
      <c r="I194" s="61"/>
    </row>
    <row r="195" ht="22.5" customHeight="1">
      <c r="A195" s="60"/>
      <c r="B195" s="11"/>
      <c r="C195" s="11"/>
      <c r="D195" s="11"/>
      <c r="E195" s="11"/>
      <c r="F195" s="11"/>
      <c r="G195" s="11"/>
      <c r="H195" s="11"/>
      <c r="I195" s="61"/>
    </row>
    <row r="196" ht="22.5" customHeight="1">
      <c r="A196" s="60"/>
      <c r="B196" s="11"/>
      <c r="C196" s="11"/>
      <c r="D196" s="11"/>
      <c r="E196" s="11"/>
      <c r="F196" s="11"/>
      <c r="G196" s="11"/>
      <c r="H196" s="11"/>
      <c r="I196" s="61"/>
    </row>
    <row r="197" ht="22.5" customHeight="1">
      <c r="A197" s="60"/>
      <c r="B197" s="11"/>
      <c r="C197" s="11"/>
      <c r="D197" s="11"/>
      <c r="E197" s="11"/>
      <c r="F197" s="11"/>
      <c r="G197" s="11"/>
      <c r="H197" s="11"/>
      <c r="I197" s="61"/>
    </row>
    <row r="198" ht="22.5" customHeight="1">
      <c r="A198" s="60"/>
      <c r="B198" s="11"/>
      <c r="C198" s="11"/>
      <c r="D198" s="11"/>
      <c r="E198" s="11"/>
      <c r="F198" s="11"/>
      <c r="G198" s="11"/>
      <c r="H198" s="11"/>
      <c r="I198" s="61"/>
    </row>
    <row r="199" ht="22.5" customHeight="1">
      <c r="A199" s="60"/>
      <c r="B199" s="11"/>
      <c r="C199" s="11"/>
      <c r="D199" s="11"/>
      <c r="E199" s="11"/>
      <c r="F199" s="11"/>
      <c r="G199" s="11"/>
      <c r="H199" s="11"/>
      <c r="I199" s="61"/>
    </row>
    <row r="200" ht="22.5" customHeight="1">
      <c r="A200" s="60"/>
      <c r="B200" s="11"/>
      <c r="C200" s="11"/>
      <c r="D200" s="11"/>
      <c r="E200" s="11"/>
      <c r="F200" s="11"/>
      <c r="G200" s="11"/>
      <c r="H200" s="11"/>
      <c r="I200" s="61"/>
    </row>
    <row r="201" ht="22.5" customHeight="1">
      <c r="A201" s="60"/>
      <c r="B201" s="11"/>
      <c r="C201" s="11"/>
      <c r="D201" s="11"/>
      <c r="E201" s="11"/>
      <c r="F201" s="11"/>
      <c r="G201" s="11"/>
      <c r="H201" s="11"/>
      <c r="I201" s="61"/>
    </row>
    <row r="202" ht="22.5" customHeight="1">
      <c r="A202" s="60"/>
      <c r="B202" s="11"/>
      <c r="C202" s="11"/>
      <c r="D202" s="11"/>
      <c r="E202" s="11"/>
      <c r="F202" s="11"/>
      <c r="G202" s="11"/>
      <c r="H202" s="11"/>
      <c r="I202" s="61"/>
    </row>
    <row r="203" ht="22.5" customHeight="1">
      <c r="A203" s="60"/>
      <c r="B203" s="11"/>
      <c r="C203" s="11"/>
      <c r="D203" s="11"/>
      <c r="E203" s="11"/>
      <c r="F203" s="11"/>
      <c r="G203" s="11"/>
      <c r="H203" s="11"/>
      <c r="I203" s="61"/>
    </row>
    <row r="204" ht="22.5" customHeight="1">
      <c r="A204" s="62"/>
      <c r="B204" s="29"/>
      <c r="C204" s="29"/>
      <c r="D204" s="29"/>
      <c r="E204" s="29"/>
      <c r="F204" s="29"/>
      <c r="G204" s="29"/>
      <c r="H204" s="29"/>
      <c r="I204" s="63"/>
    </row>
  </sheetData>
  <mergeCells count="36">
    <mergeCell ref="G70:H70"/>
    <mergeCell ref="F36:G36"/>
    <mergeCell ref="F37:G37"/>
    <mergeCell ref="F40:G40"/>
    <mergeCell ref="D2:I3"/>
    <mergeCell ref="F12:G12"/>
    <mergeCell ref="H35:I35"/>
    <mergeCell ref="F8:G8"/>
    <mergeCell ref="A2:C3"/>
    <mergeCell ref="D38:E38"/>
    <mergeCell ref="A6:B6"/>
    <mergeCell ref="A10:B10"/>
    <mergeCell ref="A7:B7"/>
    <mergeCell ref="D6:E6"/>
    <mergeCell ref="D10:E10"/>
    <mergeCell ref="D7:E7"/>
    <mergeCell ref="A12:B12"/>
    <mergeCell ref="A8:B8"/>
    <mergeCell ref="A11:B11"/>
    <mergeCell ref="D11:E11"/>
    <mergeCell ref="A137:B137"/>
    <mergeCell ref="A103:B103"/>
    <mergeCell ref="C35:D35"/>
    <mergeCell ref="C69:D69"/>
    <mergeCell ref="F41:G41"/>
    <mergeCell ref="A69:B69"/>
    <mergeCell ref="C71:D71"/>
    <mergeCell ref="A73:B73"/>
    <mergeCell ref="G71:H71"/>
    <mergeCell ref="G72:I72"/>
    <mergeCell ref="A136:B136"/>
    <mergeCell ref="C70:D70"/>
    <mergeCell ref="E74:G74"/>
    <mergeCell ref="E75:G75"/>
    <mergeCell ref="A102:B102"/>
    <mergeCell ref="A35:B35"/>
  </mergeCells>
  <conditionalFormatting sqref="D6:E6 D10:E10 F35:H37 D42:E42 G69:H69 C70:E70 C71:D71 D74:G74 D75 D103 D137">
    <cfRule type="cellIs" dxfId="1" priority="1" operator="lessThan" stopIfTrue="1">
      <formula>0</formula>
    </cfRule>
  </conditionalFormatting>
  <pageMargins left="0.708661" right="0.708661" top="0.748031" bottom="0.748031" header="0.314961" footer="0.314961"/>
  <pageSetup firstPageNumber="1" fitToHeight="1" fitToWidth="1" scale="90" useFirstPageNumber="0" orientation="portrait" pageOrder="downThenOver"/>
  <headerFooter>
    <oddHeader>&amp;L&amp;"HG丸ｺﾞｼｯｸM-PRO,Regular"&amp;16&amp;K000000将来予測シート①】</oddHeader>
    <oddFooter>&amp;C&amp;"ヒラギノ角ゴ ProN W3,Regular"&amp;12&amp;K000000&amp;P</oddFooter>
  </headerFooter>
  <drawing r:id="rId1"/>
</worksheet>
</file>

<file path=xl/worksheets/sheet5.xml><?xml version="1.0" encoding="utf-8"?>
<worksheet xmlns:r="http://schemas.openxmlformats.org/officeDocument/2006/relationships" xmlns="http://schemas.openxmlformats.org/spreadsheetml/2006/main">
  <dimension ref="A1:M314"/>
  <sheetViews>
    <sheetView workbookViewId="0" showGridLines="0" defaultGridColor="1"/>
  </sheetViews>
  <sheetFormatPr defaultColWidth="9" defaultRowHeight="22.5" customHeight="1" outlineLevelRow="0" outlineLevelCol="0"/>
  <cols>
    <col min="1" max="1" width="10" style="102" customWidth="1"/>
    <col min="2" max="2" width="9.15625" style="102" customWidth="1"/>
    <col min="3" max="3" width="10" style="102" customWidth="1"/>
    <col min="4" max="4" width="9" style="102" customWidth="1"/>
    <col min="5" max="8" width="10" style="102" customWidth="1"/>
    <col min="9" max="9" width="10.8672" style="102" customWidth="1"/>
    <col min="10" max="13" width="9" style="102" customWidth="1"/>
    <col min="14" max="256" width="9" style="102" customWidth="1"/>
  </cols>
  <sheetData>
    <row r="1" ht="22.5" customHeight="1">
      <c r="A1" t="s" s="43">
        <v>94</v>
      </c>
      <c r="B1" s="8"/>
      <c r="C1" s="8"/>
      <c r="D1" s="8"/>
      <c r="E1" s="8"/>
      <c r="F1" s="8"/>
      <c r="G1" s="8"/>
      <c r="H1" s="8"/>
      <c r="I1" s="8"/>
      <c r="J1" s="8"/>
      <c r="K1" s="8"/>
      <c r="L1" s="8"/>
      <c r="M1" s="9"/>
    </row>
    <row r="2" ht="31.5" customHeight="1">
      <c r="A2" t="s" s="103">
        <v>8</v>
      </c>
      <c r="B2" s="104"/>
      <c r="C2" s="104"/>
      <c r="D2" t="s" s="46">
        <v>95</v>
      </c>
      <c r="E2" s="47"/>
      <c r="F2" s="47"/>
      <c r="G2" s="47"/>
      <c r="H2" s="47"/>
      <c r="I2" s="47"/>
      <c r="J2" s="11"/>
      <c r="K2" s="11"/>
      <c r="L2" s="11"/>
      <c r="M2" s="12"/>
    </row>
    <row r="3" ht="31.5" customHeight="1">
      <c r="A3" s="105"/>
      <c r="B3" s="104"/>
      <c r="C3" s="104"/>
      <c r="D3" s="47"/>
      <c r="E3" s="47"/>
      <c r="F3" s="47"/>
      <c r="G3" s="47"/>
      <c r="H3" s="47"/>
      <c r="I3" s="47"/>
      <c r="J3" s="11"/>
      <c r="K3" s="11"/>
      <c r="L3" s="11"/>
      <c r="M3" s="12"/>
    </row>
    <row r="4" ht="9.75" customHeight="1">
      <c r="A4" s="10"/>
      <c r="B4" s="11"/>
      <c r="C4" s="11"/>
      <c r="D4" s="11"/>
      <c r="E4" s="11"/>
      <c r="F4" s="11"/>
      <c r="G4" s="11"/>
      <c r="H4" s="11"/>
      <c r="I4" s="11"/>
      <c r="J4" s="11"/>
      <c r="K4" s="11"/>
      <c r="L4" s="11"/>
      <c r="M4" s="12"/>
    </row>
    <row r="5" ht="40.5" customHeight="1">
      <c r="A5" t="s" s="49">
        <v>96</v>
      </c>
      <c r="B5" s="11"/>
      <c r="C5" s="11"/>
      <c r="D5" s="11"/>
      <c r="E5" s="11"/>
      <c r="F5" s="11"/>
      <c r="G5" s="11"/>
      <c r="H5" s="11"/>
      <c r="I5" s="106"/>
      <c r="J5" s="11"/>
      <c r="K5" s="11"/>
      <c r="L5" s="11"/>
      <c r="M5" s="12"/>
    </row>
    <row r="6" ht="18.75" customHeight="1">
      <c r="A6" t="s" s="65">
        <v>97</v>
      </c>
      <c r="B6" s="11"/>
      <c r="C6" s="11"/>
      <c r="D6" s="11"/>
      <c r="E6" s="11"/>
      <c r="F6" s="11"/>
      <c r="G6" s="11"/>
      <c r="H6" s="11"/>
      <c r="I6" s="11"/>
      <c r="J6" s="11"/>
      <c r="K6" s="11"/>
      <c r="L6" s="11"/>
      <c r="M6" s="12"/>
    </row>
    <row r="7" ht="13.5" customHeight="1">
      <c r="A7" s="10"/>
      <c r="B7" s="11"/>
      <c r="C7" s="11"/>
      <c r="D7" s="11"/>
      <c r="E7" s="11"/>
      <c r="F7" s="11"/>
      <c r="G7" s="11"/>
      <c r="H7" s="11"/>
      <c r="I7" s="11"/>
      <c r="J7" s="11"/>
      <c r="K7" s="11"/>
      <c r="L7" s="11"/>
      <c r="M7" s="12"/>
    </row>
    <row r="8" ht="18" customHeight="1">
      <c r="A8" t="s" s="107">
        <v>98</v>
      </c>
      <c r="B8" s="11"/>
      <c r="C8" s="11"/>
      <c r="D8" s="11"/>
      <c r="E8" s="11"/>
      <c r="F8" s="11"/>
      <c r="G8" s="11"/>
      <c r="H8" s="11"/>
      <c r="I8" s="11"/>
      <c r="J8" s="11"/>
      <c r="K8" s="11"/>
      <c r="L8" s="11"/>
      <c r="M8" s="12"/>
    </row>
    <row r="9" ht="19.5" customHeight="1">
      <c r="A9" t="s" s="107">
        <v>99</v>
      </c>
      <c r="B9" s="11"/>
      <c r="C9" s="11"/>
      <c r="D9" s="11"/>
      <c r="E9" s="11"/>
      <c r="F9" s="11"/>
      <c r="G9" s="11"/>
      <c r="H9" s="11"/>
      <c r="I9" s="11"/>
      <c r="J9" s="11"/>
      <c r="K9" s="11"/>
      <c r="L9" s="11"/>
      <c r="M9" s="12"/>
    </row>
    <row r="10" ht="19.5" customHeight="1">
      <c r="A10" t="s" s="65">
        <v>100</v>
      </c>
      <c r="B10" s="11"/>
      <c r="C10" s="11"/>
      <c r="D10" s="11"/>
      <c r="E10" s="11"/>
      <c r="F10" s="11"/>
      <c r="G10" s="11"/>
      <c r="H10" s="11"/>
      <c r="I10" s="11"/>
      <c r="J10" s="11"/>
      <c r="K10" s="11"/>
      <c r="L10" s="11"/>
      <c r="M10" s="12"/>
    </row>
    <row r="11" ht="19.5" customHeight="1">
      <c r="A11" t="s" s="65">
        <v>101</v>
      </c>
      <c r="B11" s="11"/>
      <c r="C11" s="11"/>
      <c r="D11" s="11"/>
      <c r="E11" s="11"/>
      <c r="F11" s="11"/>
      <c r="G11" s="11"/>
      <c r="H11" s="11"/>
      <c r="I11" s="11"/>
      <c r="J11" s="11"/>
      <c r="K11" s="11"/>
      <c r="L11" s="11"/>
      <c r="M11" s="12"/>
    </row>
    <row r="12" ht="19.5" customHeight="1">
      <c r="A12" t="s" s="65">
        <v>102</v>
      </c>
      <c r="B12" s="11"/>
      <c r="C12" s="11"/>
      <c r="D12" s="11"/>
      <c r="E12" s="11"/>
      <c r="F12" s="11"/>
      <c r="G12" s="11"/>
      <c r="H12" s="11"/>
      <c r="I12" s="11"/>
      <c r="J12" s="11"/>
      <c r="K12" s="11"/>
      <c r="L12" s="11"/>
      <c r="M12" s="12"/>
    </row>
    <row r="13" ht="19.5" customHeight="1">
      <c r="A13" t="s" s="65">
        <v>103</v>
      </c>
      <c r="B13" s="11"/>
      <c r="C13" s="11"/>
      <c r="D13" s="11"/>
      <c r="E13" s="11"/>
      <c r="F13" s="11"/>
      <c r="G13" s="11"/>
      <c r="H13" s="11"/>
      <c r="I13" s="11"/>
      <c r="J13" s="11"/>
      <c r="K13" s="11"/>
      <c r="L13" s="11"/>
      <c r="M13" s="12"/>
    </row>
    <row r="14" ht="18" customHeight="1">
      <c r="A14" s="108"/>
      <c r="B14" s="109"/>
      <c r="C14" s="109"/>
      <c r="D14" s="11"/>
      <c r="E14" s="11"/>
      <c r="F14" s="110"/>
      <c r="G14" s="110"/>
      <c r="H14" s="110"/>
      <c r="I14" s="11"/>
      <c r="J14" s="11"/>
      <c r="K14" s="11"/>
      <c r="L14" s="11"/>
      <c r="M14" s="12"/>
    </row>
    <row r="15" ht="17.25" customHeight="1">
      <c r="A15" t="s" s="111">
        <v>104</v>
      </c>
      <c r="B15" s="112"/>
      <c r="C15" s="112"/>
      <c r="D15" t="s" s="113">
        <v>105</v>
      </c>
      <c r="E15" s="114"/>
      <c r="F15" t="s" s="115">
        <v>106</v>
      </c>
      <c r="G15" s="116"/>
      <c r="H15" s="117"/>
      <c r="I15" s="118"/>
      <c r="J15" s="11"/>
      <c r="K15" s="11"/>
      <c r="L15" s="11"/>
      <c r="M15" s="12"/>
    </row>
    <row r="16" ht="17.25" customHeight="1">
      <c r="A16" t="s" s="119">
        <v>104</v>
      </c>
      <c r="B16" t="s" s="119">
        <v>107</v>
      </c>
      <c r="C16" t="s" s="119">
        <v>108</v>
      </c>
      <c r="D16" s="120"/>
      <c r="E16" s="114"/>
      <c r="F16" s="121"/>
      <c r="G16" t="s" s="122">
        <v>107</v>
      </c>
      <c r="H16" t="s" s="123">
        <v>108</v>
      </c>
      <c r="I16" s="118"/>
      <c r="J16" s="11"/>
      <c r="K16" s="11"/>
      <c r="L16" s="11"/>
      <c r="M16" s="12"/>
    </row>
    <row r="17" ht="18.75" customHeight="1">
      <c r="A17" t="s" s="124">
        <v>109</v>
      </c>
      <c r="B17" s="125">
        <v>1</v>
      </c>
      <c r="C17" s="125">
        <v>1</v>
      </c>
      <c r="D17" s="120"/>
      <c r="E17" s="114"/>
      <c r="F17" t="s" s="126">
        <v>109</v>
      </c>
      <c r="G17" s="125">
        <v>1</v>
      </c>
      <c r="H17" s="127">
        <v>1</v>
      </c>
      <c r="I17" s="118"/>
      <c r="J17" s="11"/>
      <c r="K17" s="11"/>
      <c r="L17" s="11"/>
      <c r="M17" s="12"/>
    </row>
    <row r="18" ht="18.75" customHeight="1">
      <c r="A18" t="s" s="124">
        <v>110</v>
      </c>
      <c r="B18" s="125"/>
      <c r="C18" s="125"/>
      <c r="D18" s="120"/>
      <c r="E18" s="114"/>
      <c r="F18" t="s" s="126">
        <v>110</v>
      </c>
      <c r="G18" s="125"/>
      <c r="H18" s="127"/>
      <c r="I18" s="118"/>
      <c r="J18" s="11"/>
      <c r="K18" s="11"/>
      <c r="L18" s="11"/>
      <c r="M18" s="12"/>
    </row>
    <row r="19" ht="18.75" customHeight="1">
      <c r="A19" t="s" s="124">
        <v>111</v>
      </c>
      <c r="B19" s="128">
        <v>1</v>
      </c>
      <c r="C19" s="128">
        <v>1</v>
      </c>
      <c r="D19" s="120"/>
      <c r="E19" s="114"/>
      <c r="F19" t="s" s="126">
        <v>111</v>
      </c>
      <c r="G19" s="128">
        <v>1</v>
      </c>
      <c r="H19" s="129">
        <v>1</v>
      </c>
      <c r="I19" s="118"/>
      <c r="J19" s="11"/>
      <c r="K19" s="11"/>
      <c r="L19" s="11"/>
      <c r="M19" s="12"/>
    </row>
    <row r="20" ht="18.75" customHeight="1">
      <c r="A20" t="s" s="124">
        <v>112</v>
      </c>
      <c r="B20" s="128"/>
      <c r="C20" s="128"/>
      <c r="D20" s="130"/>
      <c r="E20" s="131"/>
      <c r="F20" t="s" s="126">
        <v>112</v>
      </c>
      <c r="G20" s="128"/>
      <c r="H20" s="129"/>
      <c r="I20" s="118"/>
      <c r="J20" s="11"/>
      <c r="K20" s="11"/>
      <c r="L20" s="11"/>
      <c r="M20" s="12"/>
    </row>
    <row r="21" ht="18.75" customHeight="1">
      <c r="A21" t="s" s="124">
        <v>113</v>
      </c>
      <c r="B21" s="128"/>
      <c r="C21" s="128"/>
      <c r="D21" s="130"/>
      <c r="E21" s="131"/>
      <c r="F21" t="s" s="126">
        <v>113</v>
      </c>
      <c r="G21" s="128"/>
      <c r="H21" s="129"/>
      <c r="I21" s="118"/>
      <c r="J21" s="11"/>
      <c r="K21" s="11"/>
      <c r="L21" s="11"/>
      <c r="M21" s="12"/>
    </row>
    <row r="22" ht="18.75" customHeight="1">
      <c r="A22" t="s" s="124">
        <v>114</v>
      </c>
      <c r="B22" s="128">
        <v>2</v>
      </c>
      <c r="C22" s="128">
        <v>2</v>
      </c>
      <c r="D22" s="130"/>
      <c r="E22" s="131"/>
      <c r="F22" t="s" s="126">
        <v>114</v>
      </c>
      <c r="G22" s="128">
        <v>2</v>
      </c>
      <c r="H22" s="129">
        <v>2</v>
      </c>
      <c r="I22" s="118"/>
      <c r="J22" s="11"/>
      <c r="K22" s="11"/>
      <c r="L22" s="11"/>
      <c r="M22" s="12"/>
    </row>
    <row r="23" ht="18.75" customHeight="1">
      <c r="A23" t="s" s="124">
        <v>115</v>
      </c>
      <c r="B23" s="128"/>
      <c r="C23" s="128"/>
      <c r="D23" s="130"/>
      <c r="E23" s="131"/>
      <c r="F23" t="s" s="126">
        <v>115</v>
      </c>
      <c r="G23" s="128"/>
      <c r="H23" s="129"/>
      <c r="I23" s="118"/>
      <c r="J23" s="11"/>
      <c r="K23" s="11"/>
      <c r="L23" s="11"/>
      <c r="M23" s="12"/>
    </row>
    <row r="24" ht="18.75" customHeight="1">
      <c r="A24" t="s" s="124">
        <v>116</v>
      </c>
      <c r="B24" s="128"/>
      <c r="C24" s="128"/>
      <c r="D24" s="130"/>
      <c r="E24" s="131"/>
      <c r="F24" t="s" s="126">
        <v>116</v>
      </c>
      <c r="G24" s="128"/>
      <c r="H24" s="129"/>
      <c r="I24" s="118"/>
      <c r="J24" s="11"/>
      <c r="K24" s="11"/>
      <c r="L24" s="11"/>
      <c r="M24" s="12"/>
    </row>
    <row r="25" ht="18.75" customHeight="1">
      <c r="A25" t="s" s="124">
        <v>117</v>
      </c>
      <c r="B25" s="128"/>
      <c r="C25" s="128">
        <v>1</v>
      </c>
      <c r="D25" s="130"/>
      <c r="E25" s="131"/>
      <c r="F25" t="s" s="126">
        <v>117</v>
      </c>
      <c r="G25" s="128"/>
      <c r="H25" s="129">
        <v>1</v>
      </c>
      <c r="I25" s="118"/>
      <c r="J25" s="11"/>
      <c r="K25" s="11"/>
      <c r="L25" s="11"/>
      <c r="M25" s="12"/>
    </row>
    <row r="26" ht="18.75" customHeight="1">
      <c r="A26" t="s" s="124">
        <v>118</v>
      </c>
      <c r="B26" s="128"/>
      <c r="C26" s="128"/>
      <c r="D26" s="130"/>
      <c r="E26" s="131"/>
      <c r="F26" t="s" s="126">
        <v>118</v>
      </c>
      <c r="G26" s="128"/>
      <c r="H26" s="129"/>
      <c r="I26" s="118"/>
      <c r="J26" s="11"/>
      <c r="K26" s="11"/>
      <c r="L26" s="11"/>
      <c r="M26" s="12"/>
    </row>
    <row r="27" ht="18.75" customHeight="1">
      <c r="A27" t="s" s="124">
        <v>119</v>
      </c>
      <c r="B27" s="128"/>
      <c r="C27" s="128"/>
      <c r="D27" s="130"/>
      <c r="E27" s="131"/>
      <c r="F27" t="s" s="126">
        <v>119</v>
      </c>
      <c r="G27" s="128"/>
      <c r="H27" s="129"/>
      <c r="I27" s="132"/>
      <c r="J27" s="11"/>
      <c r="K27" s="11"/>
      <c r="L27" s="11"/>
      <c r="M27" s="12"/>
    </row>
    <row r="28" ht="18.75" customHeight="1">
      <c r="A28" t="s" s="124">
        <v>120</v>
      </c>
      <c r="B28" s="128"/>
      <c r="C28" s="128"/>
      <c r="D28" s="130"/>
      <c r="E28" s="131"/>
      <c r="F28" t="s" s="126">
        <v>120</v>
      </c>
      <c r="G28" s="128"/>
      <c r="H28" s="129"/>
      <c r="I28" s="132"/>
      <c r="J28" s="11"/>
      <c r="K28" s="11"/>
      <c r="L28" s="11"/>
      <c r="M28" s="12"/>
    </row>
    <row r="29" ht="18.75" customHeight="1">
      <c r="A29" t="s" s="124">
        <v>121</v>
      </c>
      <c r="B29" s="128"/>
      <c r="C29" s="128"/>
      <c r="D29" s="130"/>
      <c r="E29" s="131"/>
      <c r="F29" t="s" s="133">
        <v>121</v>
      </c>
      <c r="G29" s="134"/>
      <c r="H29" s="135"/>
      <c r="I29" s="132"/>
      <c r="J29" s="11"/>
      <c r="K29" s="11"/>
      <c r="L29" s="11"/>
      <c r="M29" s="12"/>
    </row>
    <row r="30" ht="18.75" customHeight="1">
      <c r="A30" s="136"/>
      <c r="B30" s="137"/>
      <c r="C30" s="137"/>
      <c r="D30" s="11"/>
      <c r="E30" s="11"/>
      <c r="F30" s="138"/>
      <c r="G30" s="139"/>
      <c r="H30" s="139"/>
      <c r="I30" s="106"/>
      <c r="J30" s="11"/>
      <c r="K30" s="11"/>
      <c r="L30" s="11"/>
      <c r="M30" s="12"/>
    </row>
    <row r="31" ht="24" customHeight="1">
      <c r="A31" t="s" s="140">
        <v>122</v>
      </c>
      <c r="B31" s="141">
        <v>2020</v>
      </c>
      <c r="C31" s="141"/>
      <c r="D31" t="s" s="142">
        <v>123</v>
      </c>
      <c r="E31" s="143"/>
      <c r="F31" s="143"/>
      <c r="G31" s="143"/>
      <c r="H31" s="143"/>
      <c r="I31" s="144"/>
      <c r="J31" s="11"/>
      <c r="K31" s="11"/>
      <c r="L31" s="11"/>
      <c r="M31" s="12"/>
    </row>
    <row r="32" ht="17.25" customHeight="1">
      <c r="A32" t="s" s="145">
        <v>124</v>
      </c>
      <c r="B32" s="146">
        <v>2020</v>
      </c>
      <c r="C32" s="146"/>
      <c r="D32" t="s" s="147">
        <v>125</v>
      </c>
      <c r="E32" s="148"/>
      <c r="F32" s="148"/>
      <c r="G32" s="148"/>
      <c r="H32" s="148"/>
      <c r="I32" s="149"/>
      <c r="J32" s="130"/>
      <c r="K32" s="11"/>
      <c r="L32" s="11"/>
      <c r="M32" s="12"/>
    </row>
    <row r="33" ht="17.25" customHeight="1">
      <c r="A33" t="s" s="150">
        <v>126</v>
      </c>
      <c r="B33" s="151"/>
      <c r="C33" s="152"/>
      <c r="D33" s="152"/>
      <c r="E33" s="152"/>
      <c r="F33" s="153"/>
      <c r="G33" s="152"/>
      <c r="H33" s="154"/>
      <c r="I33" s="155"/>
      <c r="J33" s="130"/>
      <c r="K33" s="11"/>
      <c r="L33" s="11"/>
      <c r="M33" s="12"/>
    </row>
    <row r="34" ht="17.25" customHeight="1">
      <c r="A34" t="s" s="150">
        <v>127</v>
      </c>
      <c r="B34" s="156"/>
      <c r="C34" s="156"/>
      <c r="D34" s="156"/>
      <c r="E34" s="11"/>
      <c r="F34" s="153"/>
      <c r="G34" s="157"/>
      <c r="H34" s="157"/>
      <c r="I34" s="158"/>
      <c r="J34" s="130"/>
      <c r="K34" s="11"/>
      <c r="L34" s="11"/>
      <c r="M34" s="12"/>
    </row>
    <row r="35" ht="17.25" customHeight="1">
      <c r="A35" s="159"/>
      <c r="B35" t="s" s="160">
        <v>106</v>
      </c>
      <c r="C35" s="161"/>
      <c r="D35" s="162"/>
      <c r="E35" s="163"/>
      <c r="F35" s="164"/>
      <c r="G35" s="165"/>
      <c r="H35" t="s" s="166">
        <v>128</v>
      </c>
      <c r="I35" s="167"/>
      <c r="J35" s="60"/>
      <c r="K35" s="11"/>
      <c r="L35" s="11"/>
      <c r="M35" s="12"/>
    </row>
    <row r="36" ht="17.25" customHeight="1">
      <c r="A36" s="168"/>
      <c r="B36" s="169"/>
      <c r="C36" t="s" s="122">
        <v>107</v>
      </c>
      <c r="D36" t="s" s="170">
        <v>108</v>
      </c>
      <c r="E36" s="163"/>
      <c r="F36" s="164"/>
      <c r="G36" s="171">
        <v>2025</v>
      </c>
      <c r="H36" s="172">
        <v>2974</v>
      </c>
      <c r="I36" s="173"/>
      <c r="J36" s="60"/>
      <c r="K36" s="11"/>
      <c r="L36" s="11"/>
      <c r="M36" s="12"/>
    </row>
    <row r="37" ht="17.25" customHeight="1">
      <c r="A37" s="159"/>
      <c r="B37" t="s" s="174">
        <v>114</v>
      </c>
      <c r="C37" s="175">
        <v>68</v>
      </c>
      <c r="D37" s="176">
        <f>C37</f>
        <v>68</v>
      </c>
      <c r="E37" s="163"/>
      <c r="F37" s="164"/>
      <c r="G37" s="171">
        <v>2030</v>
      </c>
      <c r="H37" s="172">
        <v>3010</v>
      </c>
      <c r="I37" s="173"/>
      <c r="J37" s="60"/>
      <c r="K37" s="11"/>
      <c r="L37" s="11"/>
      <c r="M37" s="12"/>
    </row>
    <row r="38" ht="17.25" customHeight="1">
      <c r="A38" s="168"/>
      <c r="B38" t="s" s="174">
        <v>115</v>
      </c>
      <c r="C38" s="175">
        <f>C37</f>
        <v>68</v>
      </c>
      <c r="D38" s="176">
        <f>C37</f>
        <v>68</v>
      </c>
      <c r="E38" s="163"/>
      <c r="F38" s="164"/>
      <c r="G38" s="171">
        <v>2035</v>
      </c>
      <c r="H38" s="172">
        <v>3087</v>
      </c>
      <c r="I38" s="173"/>
      <c r="J38" s="60"/>
      <c r="K38" s="11"/>
      <c r="L38" s="11"/>
      <c r="M38" s="12"/>
    </row>
    <row r="39" ht="17.25" customHeight="1">
      <c r="A39" s="177"/>
      <c r="B39" t="s" s="178">
        <v>116</v>
      </c>
      <c r="C39" s="179">
        <f>C37</f>
        <v>68</v>
      </c>
      <c r="D39" s="180">
        <f>C37</f>
        <v>68</v>
      </c>
      <c r="E39" s="163"/>
      <c r="F39" s="164"/>
      <c r="G39" s="181">
        <v>2040</v>
      </c>
      <c r="H39" s="182">
        <v>3195</v>
      </c>
      <c r="I39" s="183"/>
      <c r="J39" s="60"/>
      <c r="K39" s="11"/>
      <c r="L39" s="11"/>
      <c r="M39" s="12"/>
    </row>
    <row r="40" ht="17.25" customHeight="1">
      <c r="A40" s="184"/>
      <c r="B40" s="185"/>
      <c r="C40" s="185"/>
      <c r="D40" s="185"/>
      <c r="E40" s="11"/>
      <c r="F40" s="152"/>
      <c r="G40" s="186"/>
      <c r="H40" s="187"/>
      <c r="I40" s="188"/>
      <c r="J40" s="130"/>
      <c r="K40" s="11"/>
      <c r="L40" s="11"/>
      <c r="M40" s="12"/>
    </row>
    <row r="41" ht="17.25" customHeight="1">
      <c r="A41" s="189"/>
      <c r="B41" t="s" s="190">
        <v>129</v>
      </c>
      <c r="C41" s="191"/>
      <c r="D41" s="192"/>
      <c r="E41" s="192"/>
      <c r="F41" s="193"/>
      <c r="G41" s="193"/>
      <c r="H41" s="193"/>
      <c r="I41" s="194"/>
      <c r="J41" s="130"/>
      <c r="K41" s="11"/>
      <c r="L41" s="11"/>
      <c r="M41" s="12"/>
    </row>
    <row r="42" ht="40.5" customHeight="1">
      <c r="A42" t="s" s="195">
        <v>26</v>
      </c>
      <c r="B42" s="196"/>
      <c r="C42" s="196"/>
      <c r="D42" s="196"/>
      <c r="E42" s="196"/>
      <c r="F42" s="196"/>
      <c r="G42" s="196"/>
      <c r="H42" s="196"/>
      <c r="I42" s="197"/>
      <c r="J42" s="11"/>
      <c r="K42" s="11"/>
      <c r="L42" s="11"/>
      <c r="M42" s="12"/>
    </row>
    <row r="43" ht="22.5" customHeight="1">
      <c r="A43" s="50">
        <v>2030</v>
      </c>
      <c r="B43" s="51"/>
      <c r="C43" t="s" s="52">
        <v>61</v>
      </c>
      <c r="D43" s="53">
        <v>2144</v>
      </c>
      <c r="E43" s="53"/>
      <c r="F43" t="s" s="52">
        <v>62</v>
      </c>
      <c r="G43" s="11"/>
      <c r="H43" s="66"/>
      <c r="I43" s="66"/>
      <c r="J43" s="11"/>
      <c r="K43" s="11"/>
      <c r="L43" s="11"/>
      <c r="M43" s="12"/>
    </row>
    <row r="44" ht="22.5" customHeight="1">
      <c r="A44" s="50">
        <v>2040</v>
      </c>
      <c r="B44" s="51"/>
      <c r="C44" t="s" s="52">
        <v>61</v>
      </c>
      <c r="D44" s="53">
        <v>1439</v>
      </c>
      <c r="E44" s="53"/>
      <c r="F44" t="s" s="52">
        <v>62</v>
      </c>
      <c r="G44" s="11"/>
      <c r="H44" s="66"/>
      <c r="I44" s="66"/>
      <c r="J44" s="11"/>
      <c r="K44" s="11"/>
      <c r="L44" s="11"/>
      <c r="M44" s="12"/>
    </row>
    <row r="45" ht="22.5" customHeight="1">
      <c r="A45" t="s" s="65">
        <v>130</v>
      </c>
      <c r="B45" s="11"/>
      <c r="C45" s="11"/>
      <c r="D45" s="11"/>
      <c r="E45" s="11"/>
      <c r="F45" s="11"/>
      <c r="G45" s="11"/>
      <c r="H45" s="11"/>
      <c r="I45" s="11"/>
      <c r="J45" s="11"/>
      <c r="K45" s="11"/>
      <c r="L45" s="11"/>
      <c r="M45" s="12"/>
    </row>
    <row r="46" ht="22.5" customHeight="1">
      <c r="A46" s="50">
        <v>2030</v>
      </c>
      <c r="B46" s="51"/>
      <c r="C46" t="s" s="52">
        <v>131</v>
      </c>
      <c r="D46" s="53">
        <v>18</v>
      </c>
      <c r="E46" s="53"/>
      <c r="F46" t="s" s="52">
        <v>132</v>
      </c>
      <c r="G46" s="11"/>
      <c r="H46" s="11"/>
      <c r="I46" s="11"/>
      <c r="J46" s="11"/>
      <c r="K46" s="11"/>
      <c r="L46" s="11"/>
      <c r="M46" s="12"/>
    </row>
    <row r="47" ht="22.5" customHeight="1">
      <c r="A47" s="50">
        <v>2040</v>
      </c>
      <c r="B47" s="51"/>
      <c r="C47" t="s" s="52">
        <v>131</v>
      </c>
      <c r="D47" s="53">
        <v>35</v>
      </c>
      <c r="E47" s="53"/>
      <c r="F47" t="s" s="52">
        <v>133</v>
      </c>
      <c r="G47" s="11"/>
      <c r="H47" s="11"/>
      <c r="I47" s="11"/>
      <c r="J47" s="11"/>
      <c r="K47" s="11"/>
      <c r="L47" s="11"/>
      <c r="M47" s="12"/>
    </row>
    <row r="48" ht="22.5" customHeight="1">
      <c r="A48" s="10"/>
      <c r="B48" s="11"/>
      <c r="C48" s="11"/>
      <c r="D48" s="11"/>
      <c r="E48" s="11"/>
      <c r="F48" s="11"/>
      <c r="G48" s="11"/>
      <c r="H48" s="11"/>
      <c r="I48" s="11"/>
      <c r="J48" s="11"/>
      <c r="K48" s="11"/>
      <c r="L48" s="11"/>
      <c r="M48" s="12"/>
    </row>
    <row r="49" ht="22.5" customHeight="1">
      <c r="A49" s="10"/>
      <c r="B49" s="11"/>
      <c r="C49" s="11"/>
      <c r="D49" s="11"/>
      <c r="E49" s="11"/>
      <c r="F49" s="11"/>
      <c r="G49" s="11"/>
      <c r="H49" s="11"/>
      <c r="I49" s="11"/>
      <c r="J49" s="11"/>
      <c r="K49" s="11"/>
      <c r="L49" s="11"/>
      <c r="M49" s="12"/>
    </row>
    <row r="50" ht="22.5" customHeight="1">
      <c r="A50" s="10"/>
      <c r="B50" s="11"/>
      <c r="C50" s="11"/>
      <c r="D50" s="11"/>
      <c r="E50" s="11"/>
      <c r="F50" s="11"/>
      <c r="G50" s="11"/>
      <c r="H50" s="11"/>
      <c r="I50" s="11"/>
      <c r="J50" s="11"/>
      <c r="K50" s="11"/>
      <c r="L50" s="11"/>
      <c r="M50" s="12"/>
    </row>
    <row r="51" ht="22.5" customHeight="1">
      <c r="A51" s="10"/>
      <c r="B51" s="11"/>
      <c r="C51" s="11"/>
      <c r="D51" s="11"/>
      <c r="E51" s="11"/>
      <c r="F51" s="11"/>
      <c r="G51" s="11"/>
      <c r="H51" s="11"/>
      <c r="I51" s="11"/>
      <c r="J51" s="11"/>
      <c r="K51" s="11"/>
      <c r="L51" s="11"/>
      <c r="M51" s="12"/>
    </row>
    <row r="52" ht="22.5" customHeight="1">
      <c r="A52" s="10"/>
      <c r="B52" s="11"/>
      <c r="C52" s="11"/>
      <c r="D52" s="11"/>
      <c r="E52" s="11"/>
      <c r="F52" s="11"/>
      <c r="G52" s="11"/>
      <c r="H52" s="11"/>
      <c r="I52" s="11"/>
      <c r="J52" s="11"/>
      <c r="K52" s="11"/>
      <c r="L52" s="11"/>
      <c r="M52" s="12"/>
    </row>
    <row r="53" ht="22.5" customHeight="1">
      <c r="A53" s="10"/>
      <c r="B53" s="11"/>
      <c r="C53" s="11"/>
      <c r="D53" s="11"/>
      <c r="E53" s="11"/>
      <c r="F53" s="11"/>
      <c r="G53" s="11"/>
      <c r="H53" s="11"/>
      <c r="I53" s="11"/>
      <c r="J53" s="11"/>
      <c r="K53" s="11"/>
      <c r="L53" s="11"/>
      <c r="M53" s="12"/>
    </row>
    <row r="54" ht="22.5" customHeight="1">
      <c r="A54" s="10"/>
      <c r="B54" s="11"/>
      <c r="C54" s="11"/>
      <c r="D54" s="11"/>
      <c r="E54" s="11"/>
      <c r="F54" s="11"/>
      <c r="G54" s="11"/>
      <c r="H54" s="11"/>
      <c r="I54" s="11"/>
      <c r="J54" s="11"/>
      <c r="K54" s="11"/>
      <c r="L54" s="11"/>
      <c r="M54" s="12"/>
    </row>
    <row r="55" ht="22.5" customHeight="1">
      <c r="A55" s="10"/>
      <c r="B55" s="11"/>
      <c r="C55" s="11"/>
      <c r="D55" s="11"/>
      <c r="E55" s="11"/>
      <c r="F55" s="11"/>
      <c r="G55" s="11"/>
      <c r="H55" s="11"/>
      <c r="I55" s="11"/>
      <c r="J55" s="11"/>
      <c r="K55" s="11"/>
      <c r="L55" s="11"/>
      <c r="M55" s="12"/>
    </row>
    <row r="56" ht="22.5" customHeight="1">
      <c r="A56" s="10"/>
      <c r="B56" s="11"/>
      <c r="C56" s="11"/>
      <c r="D56" s="11"/>
      <c r="E56" s="11"/>
      <c r="F56" s="11"/>
      <c r="G56" s="11"/>
      <c r="H56" s="11"/>
      <c r="I56" s="11"/>
      <c r="J56" s="11"/>
      <c r="K56" s="11"/>
      <c r="L56" s="11"/>
      <c r="M56" s="12"/>
    </row>
    <row r="57" ht="22.5" customHeight="1">
      <c r="A57" s="10"/>
      <c r="B57" s="11"/>
      <c r="C57" s="11"/>
      <c r="D57" s="11"/>
      <c r="E57" s="11"/>
      <c r="F57" s="11"/>
      <c r="G57" s="11"/>
      <c r="H57" s="11"/>
      <c r="I57" s="11"/>
      <c r="J57" s="11"/>
      <c r="K57" s="11"/>
      <c r="L57" s="11"/>
      <c r="M57" s="12"/>
    </row>
    <row r="58" ht="22.5" customHeight="1">
      <c r="A58" s="10"/>
      <c r="B58" s="11"/>
      <c r="C58" s="11"/>
      <c r="D58" s="11"/>
      <c r="E58" s="11"/>
      <c r="F58" s="11"/>
      <c r="G58" s="11"/>
      <c r="H58" s="11"/>
      <c r="I58" s="11"/>
      <c r="J58" s="11"/>
      <c r="K58" s="11"/>
      <c r="L58" s="11"/>
      <c r="M58" s="12"/>
    </row>
    <row r="59" ht="22.5" customHeight="1">
      <c r="A59" s="10"/>
      <c r="B59" s="11"/>
      <c r="C59" s="11"/>
      <c r="D59" s="11"/>
      <c r="E59" s="11"/>
      <c r="F59" s="11"/>
      <c r="G59" s="11"/>
      <c r="H59" s="11"/>
      <c r="I59" s="11"/>
      <c r="J59" s="11"/>
      <c r="K59" s="11"/>
      <c r="L59" s="11"/>
      <c r="M59" s="12"/>
    </row>
    <row r="60" ht="22.5" customHeight="1">
      <c r="A60" s="10"/>
      <c r="B60" s="11"/>
      <c r="C60" s="11"/>
      <c r="D60" s="11"/>
      <c r="E60" s="11"/>
      <c r="F60" s="11"/>
      <c r="G60" s="11"/>
      <c r="H60" s="11"/>
      <c r="I60" s="11"/>
      <c r="J60" s="11"/>
      <c r="K60" s="11"/>
      <c r="L60" s="11"/>
      <c r="M60" s="12"/>
    </row>
    <row r="61" ht="22.5" customHeight="1">
      <c r="A61" s="10"/>
      <c r="B61" s="11"/>
      <c r="C61" s="11"/>
      <c r="D61" s="11"/>
      <c r="E61" s="11"/>
      <c r="F61" s="11"/>
      <c r="G61" s="11"/>
      <c r="H61" s="11"/>
      <c r="I61" s="11"/>
      <c r="J61" s="11"/>
      <c r="K61" s="11"/>
      <c r="L61" s="11"/>
      <c r="M61" s="12"/>
    </row>
    <row r="62" ht="22.5" customHeight="1">
      <c r="A62" s="10"/>
      <c r="B62" s="11"/>
      <c r="C62" s="11"/>
      <c r="D62" s="11"/>
      <c r="E62" s="11"/>
      <c r="F62" s="11"/>
      <c r="G62" s="11"/>
      <c r="H62" s="11"/>
      <c r="I62" s="11"/>
      <c r="J62" s="11"/>
      <c r="K62" s="11"/>
      <c r="L62" s="11"/>
      <c r="M62" s="12"/>
    </row>
    <row r="63" ht="22.5" customHeight="1">
      <c r="A63" s="10"/>
      <c r="B63" s="11"/>
      <c r="C63" s="11"/>
      <c r="D63" s="11"/>
      <c r="E63" s="11"/>
      <c r="F63" s="11"/>
      <c r="G63" s="11"/>
      <c r="H63" s="11"/>
      <c r="I63" s="11"/>
      <c r="J63" s="11"/>
      <c r="K63" s="11"/>
      <c r="L63" s="11"/>
      <c r="M63" s="12"/>
    </row>
    <row r="64" ht="22.5" customHeight="1">
      <c r="A64" s="10"/>
      <c r="B64" s="11"/>
      <c r="C64" s="11"/>
      <c r="D64" s="11"/>
      <c r="E64" s="11"/>
      <c r="F64" s="11"/>
      <c r="G64" s="11"/>
      <c r="H64" s="11"/>
      <c r="I64" s="11"/>
      <c r="J64" s="11"/>
      <c r="K64" s="11"/>
      <c r="L64" s="11"/>
      <c r="M64" s="12"/>
    </row>
    <row r="65" ht="22.5" customHeight="1">
      <c r="A65" s="10"/>
      <c r="B65" s="11"/>
      <c r="C65" s="11"/>
      <c r="D65" s="11"/>
      <c r="E65" s="11"/>
      <c r="F65" s="11"/>
      <c r="G65" s="11"/>
      <c r="H65" s="11"/>
      <c r="I65" s="11"/>
      <c r="J65" s="11"/>
      <c r="K65" s="11"/>
      <c r="L65" s="11"/>
      <c r="M65" s="12"/>
    </row>
    <row r="66" ht="22.5" customHeight="1">
      <c r="A66" s="10"/>
      <c r="B66" s="11"/>
      <c r="C66" s="11"/>
      <c r="D66" s="11"/>
      <c r="E66" s="11"/>
      <c r="F66" s="11"/>
      <c r="G66" s="11"/>
      <c r="H66" s="11"/>
      <c r="I66" s="11"/>
      <c r="J66" s="11"/>
      <c r="K66" s="11"/>
      <c r="L66" s="11"/>
      <c r="M66" s="12"/>
    </row>
    <row r="67" ht="22.5" customHeight="1">
      <c r="A67" s="10"/>
      <c r="B67" s="11"/>
      <c r="C67" s="11"/>
      <c r="D67" s="11"/>
      <c r="E67" s="11"/>
      <c r="F67" s="11"/>
      <c r="G67" s="11"/>
      <c r="H67" s="11"/>
      <c r="I67" s="11"/>
      <c r="J67" s="11"/>
      <c r="K67" s="11"/>
      <c r="L67" s="11"/>
      <c r="M67" s="12"/>
    </row>
    <row r="68" ht="22.5" customHeight="1">
      <c r="A68" s="10"/>
      <c r="B68" s="11"/>
      <c r="C68" s="11"/>
      <c r="D68" s="11"/>
      <c r="E68" s="11"/>
      <c r="F68" s="11"/>
      <c r="G68" s="11"/>
      <c r="H68" s="11"/>
      <c r="I68" s="11"/>
      <c r="J68" s="11"/>
      <c r="K68" s="11"/>
      <c r="L68" s="11"/>
      <c r="M68" s="12"/>
    </row>
    <row r="69" ht="22.5" customHeight="1">
      <c r="A69" s="10"/>
      <c r="B69" s="11"/>
      <c r="C69" s="11"/>
      <c r="D69" s="11"/>
      <c r="E69" s="11"/>
      <c r="F69" s="11"/>
      <c r="G69" s="11"/>
      <c r="H69" s="11"/>
      <c r="I69" s="11"/>
      <c r="J69" s="11"/>
      <c r="K69" s="11"/>
      <c r="L69" s="11"/>
      <c r="M69" s="12"/>
    </row>
    <row r="70" ht="22.5" customHeight="1">
      <c r="A70" s="10"/>
      <c r="B70" s="11"/>
      <c r="C70" s="11"/>
      <c r="D70" s="11"/>
      <c r="E70" s="11"/>
      <c r="F70" s="11"/>
      <c r="G70" s="11"/>
      <c r="H70" s="11"/>
      <c r="I70" s="11"/>
      <c r="J70" s="11"/>
      <c r="K70" s="11"/>
      <c r="L70" s="11"/>
      <c r="M70" s="12"/>
    </row>
    <row r="71" ht="22.5" customHeight="1">
      <c r="A71" s="10"/>
      <c r="B71" s="11"/>
      <c r="C71" s="11"/>
      <c r="D71" s="11"/>
      <c r="E71" s="11"/>
      <c r="F71" s="11"/>
      <c r="G71" s="11"/>
      <c r="H71" s="11"/>
      <c r="I71" s="11"/>
      <c r="J71" s="11"/>
      <c r="K71" s="11"/>
      <c r="L71" s="11"/>
      <c r="M71" s="12"/>
    </row>
    <row r="72" ht="22.5" customHeight="1">
      <c r="A72" s="10"/>
      <c r="B72" s="11"/>
      <c r="C72" s="11"/>
      <c r="D72" s="11"/>
      <c r="E72" s="11"/>
      <c r="F72" s="11"/>
      <c r="G72" s="11"/>
      <c r="H72" s="11"/>
      <c r="I72" s="11"/>
      <c r="J72" s="11"/>
      <c r="K72" s="11"/>
      <c r="L72" s="11"/>
      <c r="M72" s="12"/>
    </row>
    <row r="73" ht="22.5" customHeight="1">
      <c r="A73" s="10"/>
      <c r="B73" s="11"/>
      <c r="C73" s="11"/>
      <c r="D73" s="11"/>
      <c r="E73" s="11"/>
      <c r="F73" s="11"/>
      <c r="G73" s="11"/>
      <c r="H73" s="11"/>
      <c r="I73" s="11"/>
      <c r="J73" s="11"/>
      <c r="K73" s="11"/>
      <c r="L73" s="11"/>
      <c r="M73" s="12"/>
    </row>
    <row r="74" ht="22.5" customHeight="1">
      <c r="A74" s="10"/>
      <c r="B74" s="11"/>
      <c r="C74" s="11"/>
      <c r="D74" s="11"/>
      <c r="E74" s="11"/>
      <c r="F74" s="11"/>
      <c r="G74" s="11"/>
      <c r="H74" s="11"/>
      <c r="I74" s="11"/>
      <c r="J74" s="11"/>
      <c r="K74" s="11"/>
      <c r="L74" s="11"/>
      <c r="M74" s="12"/>
    </row>
    <row r="75" ht="22.5" customHeight="1">
      <c r="A75" s="10"/>
      <c r="B75" s="11"/>
      <c r="C75" s="11"/>
      <c r="D75" s="11"/>
      <c r="E75" s="11"/>
      <c r="F75" s="11"/>
      <c r="G75" s="11"/>
      <c r="H75" s="11"/>
      <c r="I75" s="11"/>
      <c r="J75" s="11"/>
      <c r="K75" s="11"/>
      <c r="L75" s="11"/>
      <c r="M75" s="12"/>
    </row>
    <row r="76" ht="40.5" customHeight="1">
      <c r="A76" t="s" s="49">
        <v>34</v>
      </c>
      <c r="B76" s="11"/>
      <c r="C76" s="11"/>
      <c r="D76" s="11"/>
      <c r="E76" s="11"/>
      <c r="F76" s="11"/>
      <c r="G76" s="11"/>
      <c r="H76" s="11"/>
      <c r="I76" s="198"/>
      <c r="J76" s="11"/>
      <c r="K76" s="11"/>
      <c r="L76" s="11"/>
      <c r="M76" s="12"/>
    </row>
    <row r="77" ht="22.5" customHeight="1">
      <c r="A77" s="50">
        <v>2040</v>
      </c>
      <c r="B77" s="51"/>
      <c r="C77" t="s" s="52">
        <v>65</v>
      </c>
      <c r="D77" s="11"/>
      <c r="E77" s="11"/>
      <c r="F77" s="75"/>
      <c r="G77" s="75"/>
      <c r="H77" s="75"/>
      <c r="I77" s="66"/>
      <c r="J77" s="11"/>
      <c r="K77" s="11"/>
      <c r="L77" s="11"/>
      <c r="M77" s="12"/>
    </row>
    <row r="78" ht="22.5" customHeight="1">
      <c r="A78" t="s" s="65">
        <v>66</v>
      </c>
      <c r="B78" s="11"/>
      <c r="C78" s="11"/>
      <c r="D78" s="11"/>
      <c r="E78" s="66"/>
      <c r="F78" s="53">
        <v>37</v>
      </c>
      <c r="G78" s="53"/>
      <c r="H78" t="s" s="52">
        <v>39</v>
      </c>
      <c r="I78" s="66"/>
      <c r="J78" s="11"/>
      <c r="K78" s="11"/>
      <c r="L78" s="11"/>
      <c r="M78" s="12"/>
    </row>
    <row r="79" ht="22.5" customHeight="1">
      <c r="A79" t="s" s="65">
        <v>67</v>
      </c>
      <c r="B79" s="11"/>
      <c r="C79" s="11"/>
      <c r="D79" s="11"/>
      <c r="E79" s="11"/>
      <c r="F79" s="53">
        <v>21</v>
      </c>
      <c r="G79" s="53"/>
      <c r="H79" t="s" s="52">
        <v>68</v>
      </c>
      <c r="I79" s="66"/>
      <c r="J79" s="11"/>
      <c r="K79" s="11"/>
      <c r="L79" s="11"/>
      <c r="M79" s="12"/>
    </row>
    <row r="80" ht="22.5" customHeight="1">
      <c r="A80" s="10"/>
      <c r="B80" s="11"/>
      <c r="C80" s="11"/>
      <c r="D80" s="11"/>
      <c r="E80" s="11"/>
      <c r="F80" s="53"/>
      <c r="G80" s="53"/>
      <c r="H80" t="s" s="52">
        <v>69</v>
      </c>
      <c r="I80" s="66"/>
      <c r="J80" s="11"/>
      <c r="K80" s="11"/>
      <c r="L80" s="11"/>
      <c r="M80" s="12"/>
    </row>
    <row r="81" ht="22.5" customHeight="1">
      <c r="A81" t="s" s="65">
        <v>130</v>
      </c>
      <c r="B81" s="11"/>
      <c r="C81" s="11"/>
      <c r="D81" s="11"/>
      <c r="E81" s="11"/>
      <c r="F81" s="11"/>
      <c r="G81" s="11"/>
      <c r="H81" s="11"/>
      <c r="I81" s="11"/>
      <c r="J81" s="11"/>
      <c r="K81" s="11"/>
      <c r="L81" s="11"/>
      <c r="M81" s="12"/>
    </row>
    <row r="82" ht="22.5" customHeight="1">
      <c r="A82" t="s" s="65">
        <v>38</v>
      </c>
      <c r="B82" s="11"/>
      <c r="C82" s="54">
        <v>5</v>
      </c>
      <c r="D82" s="54"/>
      <c r="E82" t="s" s="52">
        <v>39</v>
      </c>
      <c r="F82" s="11"/>
      <c r="G82" s="11"/>
      <c r="H82" s="11"/>
      <c r="I82" s="11"/>
      <c r="J82" s="11"/>
      <c r="K82" s="11"/>
      <c r="L82" s="11"/>
      <c r="M82" s="12"/>
    </row>
    <row r="83" ht="22.5" customHeight="1">
      <c r="A83" t="s" s="65">
        <v>40</v>
      </c>
      <c r="B83" s="11"/>
      <c r="C83" s="54">
        <v>3</v>
      </c>
      <c r="D83" s="54"/>
      <c r="E83" t="s" s="52">
        <v>134</v>
      </c>
      <c r="F83" s="11"/>
      <c r="G83" s="11"/>
      <c r="H83" s="11"/>
      <c r="I83" s="11"/>
      <c r="J83" s="11"/>
      <c r="K83" s="11"/>
      <c r="L83" s="199"/>
      <c r="M83" s="200"/>
    </row>
    <row r="84" ht="22.5" customHeight="1">
      <c r="A84" s="10"/>
      <c r="B84" s="11"/>
      <c r="C84" s="11"/>
      <c r="D84" s="70"/>
      <c r="E84" s="70"/>
      <c r="F84" s="11"/>
      <c r="G84" s="11"/>
      <c r="H84" s="11"/>
      <c r="I84" s="11"/>
      <c r="J84" s="11"/>
      <c r="K84" s="11"/>
      <c r="L84" s="11"/>
      <c r="M84" s="12"/>
    </row>
    <row r="85" ht="22.5" customHeight="1">
      <c r="A85" s="10"/>
      <c r="B85" s="11"/>
      <c r="C85" s="11"/>
      <c r="D85" s="11"/>
      <c r="E85" s="11"/>
      <c r="F85" s="11"/>
      <c r="G85" s="11"/>
      <c r="H85" s="11"/>
      <c r="I85" s="11"/>
      <c r="J85" s="11"/>
      <c r="K85" s="11"/>
      <c r="L85" s="11"/>
      <c r="M85" s="12"/>
    </row>
    <row r="86" ht="22.5" customHeight="1">
      <c r="A86" s="10"/>
      <c r="B86" s="11"/>
      <c r="C86" s="11"/>
      <c r="D86" s="11"/>
      <c r="E86" s="11"/>
      <c r="F86" s="11"/>
      <c r="G86" s="11"/>
      <c r="H86" s="11"/>
      <c r="I86" s="11"/>
      <c r="J86" s="11"/>
      <c r="K86" s="11"/>
      <c r="L86" s="11"/>
      <c r="M86" s="12"/>
    </row>
    <row r="87" ht="22.5" customHeight="1">
      <c r="A87" s="10"/>
      <c r="B87" s="11"/>
      <c r="C87" s="11"/>
      <c r="D87" s="11"/>
      <c r="E87" s="11"/>
      <c r="F87" s="11"/>
      <c r="G87" s="11"/>
      <c r="H87" s="11"/>
      <c r="I87" s="11"/>
      <c r="J87" s="11"/>
      <c r="K87" s="11"/>
      <c r="L87" s="11"/>
      <c r="M87" s="12"/>
    </row>
    <row r="88" ht="22.5" customHeight="1">
      <c r="A88" s="10"/>
      <c r="B88" s="11"/>
      <c r="C88" s="11"/>
      <c r="D88" s="11"/>
      <c r="E88" s="11"/>
      <c r="F88" s="11"/>
      <c r="G88" s="11"/>
      <c r="H88" s="11"/>
      <c r="I88" s="11"/>
      <c r="J88" s="11"/>
      <c r="K88" s="11"/>
      <c r="L88" s="11"/>
      <c r="M88" s="12"/>
    </row>
    <row r="89" ht="22.5" customHeight="1">
      <c r="A89" s="10"/>
      <c r="B89" s="11"/>
      <c r="C89" s="11"/>
      <c r="D89" s="11"/>
      <c r="E89" s="11"/>
      <c r="F89" s="11"/>
      <c r="G89" s="11"/>
      <c r="H89" s="11"/>
      <c r="I89" s="11"/>
      <c r="J89" s="11"/>
      <c r="K89" s="11"/>
      <c r="L89" s="11"/>
      <c r="M89" s="12"/>
    </row>
    <row r="90" ht="22.5" customHeight="1">
      <c r="A90" s="10"/>
      <c r="B90" s="11"/>
      <c r="C90" s="11"/>
      <c r="D90" s="11"/>
      <c r="E90" s="11"/>
      <c r="F90" s="11"/>
      <c r="G90" s="11"/>
      <c r="H90" s="11"/>
      <c r="I90" s="11"/>
      <c r="J90" s="11"/>
      <c r="K90" s="11"/>
      <c r="L90" s="11"/>
      <c r="M90" s="12"/>
    </row>
    <row r="91" ht="22.5" customHeight="1">
      <c r="A91" s="10"/>
      <c r="B91" s="11"/>
      <c r="C91" s="11"/>
      <c r="D91" s="11"/>
      <c r="E91" s="11"/>
      <c r="F91" s="11"/>
      <c r="G91" s="11"/>
      <c r="H91" s="11"/>
      <c r="I91" s="11"/>
      <c r="J91" s="11"/>
      <c r="K91" s="11"/>
      <c r="L91" s="11"/>
      <c r="M91" s="12"/>
    </row>
    <row r="92" ht="22.5" customHeight="1">
      <c r="A92" s="10"/>
      <c r="B92" s="11"/>
      <c r="C92" s="11"/>
      <c r="D92" s="11"/>
      <c r="E92" s="11"/>
      <c r="F92" s="11"/>
      <c r="G92" s="11"/>
      <c r="H92" s="11"/>
      <c r="I92" s="11"/>
      <c r="J92" s="11"/>
      <c r="K92" s="11"/>
      <c r="L92" s="11"/>
      <c r="M92" s="12"/>
    </row>
    <row r="93" ht="22.5" customHeight="1">
      <c r="A93" s="10"/>
      <c r="B93" s="11"/>
      <c r="C93" s="11"/>
      <c r="D93" s="11"/>
      <c r="E93" s="11"/>
      <c r="F93" s="11"/>
      <c r="G93" s="11"/>
      <c r="H93" s="11"/>
      <c r="I93" s="11"/>
      <c r="J93" s="11"/>
      <c r="K93" s="11"/>
      <c r="L93" s="11"/>
      <c r="M93" s="12"/>
    </row>
    <row r="94" ht="22.5" customHeight="1">
      <c r="A94" s="10"/>
      <c r="B94" s="11"/>
      <c r="C94" s="11"/>
      <c r="D94" s="11"/>
      <c r="E94" s="11"/>
      <c r="F94" s="11"/>
      <c r="G94" s="11"/>
      <c r="H94" s="11"/>
      <c r="I94" s="11"/>
      <c r="J94" s="11"/>
      <c r="K94" s="11"/>
      <c r="L94" s="11"/>
      <c r="M94" s="12"/>
    </row>
    <row r="95" ht="22.5" customHeight="1">
      <c r="A95" s="10"/>
      <c r="B95" s="11"/>
      <c r="C95" s="11"/>
      <c r="D95" s="11"/>
      <c r="E95" s="11"/>
      <c r="F95" s="11"/>
      <c r="G95" s="11"/>
      <c r="H95" s="11"/>
      <c r="I95" s="11"/>
      <c r="J95" s="11"/>
      <c r="K95" s="11"/>
      <c r="L95" s="11"/>
      <c r="M95" s="12"/>
    </row>
    <row r="96" ht="22.5" customHeight="1">
      <c r="A96" s="10"/>
      <c r="B96" s="11"/>
      <c r="C96" s="11"/>
      <c r="D96" s="11"/>
      <c r="E96" s="11"/>
      <c r="F96" s="11"/>
      <c r="G96" s="11"/>
      <c r="H96" s="11"/>
      <c r="I96" s="11"/>
      <c r="J96" s="11"/>
      <c r="K96" s="11"/>
      <c r="L96" s="11"/>
      <c r="M96" s="12"/>
    </row>
    <row r="97" ht="22.5" customHeight="1">
      <c r="A97" s="10"/>
      <c r="B97" s="11"/>
      <c r="C97" s="11"/>
      <c r="D97" s="11"/>
      <c r="E97" s="11"/>
      <c r="F97" s="11"/>
      <c r="G97" s="11"/>
      <c r="H97" s="11"/>
      <c r="I97" s="11"/>
      <c r="J97" s="11"/>
      <c r="K97" s="11"/>
      <c r="L97" s="11"/>
      <c r="M97" s="12"/>
    </row>
    <row r="98" ht="22.5" customHeight="1">
      <c r="A98" s="10"/>
      <c r="B98" s="11"/>
      <c r="C98" s="11"/>
      <c r="D98" s="11"/>
      <c r="E98" s="11"/>
      <c r="F98" s="11"/>
      <c r="G98" s="11"/>
      <c r="H98" s="11"/>
      <c r="I98" s="11"/>
      <c r="J98" s="11"/>
      <c r="K98" s="11"/>
      <c r="L98" s="11"/>
      <c r="M98" s="12"/>
    </row>
    <row r="99" ht="22.5" customHeight="1">
      <c r="A99" s="10"/>
      <c r="B99" s="11"/>
      <c r="C99" s="11"/>
      <c r="D99" s="11"/>
      <c r="E99" s="11"/>
      <c r="F99" s="11"/>
      <c r="G99" s="11"/>
      <c r="H99" s="11"/>
      <c r="I99" s="11"/>
      <c r="J99" s="11"/>
      <c r="K99" s="11"/>
      <c r="L99" s="11"/>
      <c r="M99" s="12"/>
    </row>
    <row r="100" ht="22.5" customHeight="1">
      <c r="A100" s="10"/>
      <c r="B100" s="11"/>
      <c r="C100" s="11"/>
      <c r="D100" s="11"/>
      <c r="E100" s="11"/>
      <c r="F100" s="11"/>
      <c r="G100" s="11"/>
      <c r="H100" s="11"/>
      <c r="I100" s="11"/>
      <c r="J100" s="11"/>
      <c r="K100" s="11"/>
      <c r="L100" s="11"/>
      <c r="M100" s="12"/>
    </row>
    <row r="101" ht="22.5" customHeight="1">
      <c r="A101" s="10"/>
      <c r="B101" s="11"/>
      <c r="C101" s="11"/>
      <c r="D101" s="11"/>
      <c r="E101" s="11"/>
      <c r="F101" s="11"/>
      <c r="G101" s="11"/>
      <c r="H101" s="11"/>
      <c r="I101" s="11"/>
      <c r="J101" s="11"/>
      <c r="K101" s="11"/>
      <c r="L101" s="11"/>
      <c r="M101" s="12"/>
    </row>
    <row r="102" ht="22.5" customHeight="1">
      <c r="A102" s="10"/>
      <c r="B102" s="11"/>
      <c r="C102" s="11"/>
      <c r="D102" s="11"/>
      <c r="E102" s="11"/>
      <c r="F102" s="11"/>
      <c r="G102" s="11"/>
      <c r="H102" s="11"/>
      <c r="I102" s="11"/>
      <c r="J102" s="11"/>
      <c r="K102" s="11"/>
      <c r="L102" s="11"/>
      <c r="M102" s="12"/>
    </row>
    <row r="103" ht="22.5" customHeight="1">
      <c r="A103" s="10"/>
      <c r="B103" s="11"/>
      <c r="C103" s="11"/>
      <c r="D103" s="11"/>
      <c r="E103" s="11"/>
      <c r="F103" s="11"/>
      <c r="G103" s="11"/>
      <c r="H103" s="11"/>
      <c r="I103" s="11"/>
      <c r="J103" s="11"/>
      <c r="K103" s="11"/>
      <c r="L103" s="11"/>
      <c r="M103" s="12"/>
    </row>
    <row r="104" ht="22.5" customHeight="1">
      <c r="A104" s="10"/>
      <c r="B104" s="11"/>
      <c r="C104" s="11"/>
      <c r="D104" s="11"/>
      <c r="E104" s="11"/>
      <c r="F104" s="11"/>
      <c r="G104" s="11"/>
      <c r="H104" s="11"/>
      <c r="I104" s="11"/>
      <c r="J104" s="11"/>
      <c r="K104" s="11"/>
      <c r="L104" s="11"/>
      <c r="M104" s="12"/>
    </row>
    <row r="105" ht="22.5" customHeight="1">
      <c r="A105" s="10"/>
      <c r="B105" s="11"/>
      <c r="C105" s="11"/>
      <c r="D105" s="11"/>
      <c r="E105" s="11"/>
      <c r="F105" s="11"/>
      <c r="G105" s="11"/>
      <c r="H105" s="11"/>
      <c r="I105" s="11"/>
      <c r="J105" s="11"/>
      <c r="K105" s="11"/>
      <c r="L105" s="11"/>
      <c r="M105" s="12"/>
    </row>
    <row r="106" ht="22.5" customHeight="1">
      <c r="A106" s="10"/>
      <c r="B106" s="11"/>
      <c r="C106" s="11"/>
      <c r="D106" s="11"/>
      <c r="E106" s="11"/>
      <c r="F106" s="11"/>
      <c r="G106" s="11"/>
      <c r="H106" s="11"/>
      <c r="I106" s="11"/>
      <c r="J106" s="11"/>
      <c r="K106" s="11"/>
      <c r="L106" s="11"/>
      <c r="M106" s="12"/>
    </row>
    <row r="107" ht="22.5" customHeight="1">
      <c r="A107" s="10"/>
      <c r="B107" s="11"/>
      <c r="C107" s="11"/>
      <c r="D107" s="11"/>
      <c r="E107" s="11"/>
      <c r="F107" s="11"/>
      <c r="G107" s="11"/>
      <c r="H107" s="11"/>
      <c r="I107" s="11"/>
      <c r="J107" s="11"/>
      <c r="K107" s="11"/>
      <c r="L107" s="11"/>
      <c r="M107" s="12"/>
    </row>
    <row r="108" ht="22.5" customHeight="1">
      <c r="A108" s="10"/>
      <c r="B108" s="11"/>
      <c r="C108" s="11"/>
      <c r="D108" s="11"/>
      <c r="E108" s="11"/>
      <c r="F108" s="11"/>
      <c r="G108" s="11"/>
      <c r="H108" s="11"/>
      <c r="I108" s="11"/>
      <c r="J108" s="11"/>
      <c r="K108" s="11"/>
      <c r="L108" s="11"/>
      <c r="M108" s="12"/>
    </row>
    <row r="109" ht="22.5" customHeight="1">
      <c r="A109" s="10"/>
      <c r="B109" s="11"/>
      <c r="C109" s="11"/>
      <c r="D109" s="11"/>
      <c r="E109" s="11"/>
      <c r="F109" s="11"/>
      <c r="G109" s="11"/>
      <c r="H109" s="11"/>
      <c r="I109" s="11"/>
      <c r="J109" s="11"/>
      <c r="K109" s="11"/>
      <c r="L109" s="11"/>
      <c r="M109" s="12"/>
    </row>
    <row r="110" ht="44.25" customHeight="1">
      <c r="A110" t="s" s="49">
        <v>42</v>
      </c>
      <c r="B110" s="11"/>
      <c r="C110" s="11"/>
      <c r="D110" s="11"/>
      <c r="E110" s="11"/>
      <c r="F110" s="11"/>
      <c r="G110" s="11"/>
      <c r="H110" s="11"/>
      <c r="I110" s="198"/>
      <c r="J110" s="11"/>
      <c r="K110" s="11"/>
      <c r="L110" s="11"/>
      <c r="M110" s="12"/>
    </row>
    <row r="111" ht="22.5" customHeight="1">
      <c r="A111" s="50">
        <v>2040</v>
      </c>
      <c r="B111" s="51"/>
      <c r="C111" t="s" s="52">
        <v>65</v>
      </c>
      <c r="D111" s="11"/>
      <c r="E111" s="11"/>
      <c r="F111" s="75"/>
      <c r="G111" s="75"/>
      <c r="H111" s="75"/>
      <c r="I111" s="66"/>
      <c r="J111" s="11"/>
      <c r="K111" s="11"/>
      <c r="L111" s="11"/>
      <c r="M111" s="12"/>
    </row>
    <row r="112" ht="22.5" customHeight="1">
      <c r="A112" t="s" s="65">
        <v>43</v>
      </c>
      <c r="B112" s="11"/>
      <c r="C112" s="53">
        <v>781</v>
      </c>
      <c r="D112" s="53"/>
      <c r="E112" t="s" s="52">
        <v>44</v>
      </c>
      <c r="F112" s="75"/>
      <c r="G112" s="76">
        <v>0.54</v>
      </c>
      <c r="H112" t="s" s="52">
        <v>74</v>
      </c>
      <c r="I112" s="66"/>
      <c r="J112" s="11"/>
      <c r="K112" s="11"/>
      <c r="L112" s="11"/>
      <c r="M112" s="12"/>
    </row>
    <row r="113" ht="22.5" customHeight="1">
      <c r="A113" t="s" s="65">
        <v>46</v>
      </c>
      <c r="B113" s="11"/>
      <c r="C113" s="53">
        <v>554</v>
      </c>
      <c r="D113" s="53"/>
      <c r="E113" t="s" s="52">
        <v>44</v>
      </c>
      <c r="F113" s="66"/>
      <c r="G113" s="76">
        <v>0.38</v>
      </c>
      <c r="H113" t="s" s="52">
        <v>76</v>
      </c>
      <c r="I113" s="76"/>
      <c r="J113" s="11"/>
      <c r="K113" s="11"/>
      <c r="L113" s="11"/>
      <c r="M113" s="12"/>
    </row>
    <row r="114" ht="22.5" customHeight="1">
      <c r="A114" s="10"/>
      <c r="B114" s="11"/>
      <c r="C114" s="11"/>
      <c r="D114" s="11"/>
      <c r="E114" s="11"/>
      <c r="F114" s="11"/>
      <c r="G114" t="s" s="52">
        <v>69</v>
      </c>
      <c r="H114" s="11"/>
      <c r="I114" s="11"/>
      <c r="J114" s="11"/>
      <c r="K114" s="11"/>
      <c r="L114" s="11"/>
      <c r="M114" s="12"/>
    </row>
    <row r="115" ht="22.5" customHeight="1">
      <c r="A115" t="s" s="65">
        <v>130</v>
      </c>
      <c r="B115" s="11"/>
      <c r="C115" s="11"/>
      <c r="D115" s="66"/>
      <c r="E115" s="66"/>
      <c r="F115" s="47"/>
      <c r="G115" s="11"/>
      <c r="H115" s="11"/>
      <c r="I115" s="11"/>
      <c r="J115" s="11"/>
      <c r="K115" s="11"/>
      <c r="L115" s="11"/>
      <c r="M115" s="12"/>
    </row>
    <row r="116" ht="22.5" customHeight="1">
      <c r="A116" s="10"/>
      <c r="B116" t="s" s="52">
        <v>47</v>
      </c>
      <c r="C116" s="11"/>
      <c r="D116" s="70"/>
      <c r="E116" t="s" s="72">
        <v>135</v>
      </c>
      <c r="F116" s="53"/>
      <c r="G116" s="53"/>
      <c r="H116" t="s" s="52">
        <v>45</v>
      </c>
      <c r="I116" s="11"/>
      <c r="J116" s="11"/>
      <c r="K116" s="11"/>
      <c r="L116" s="11"/>
      <c r="M116" s="12"/>
    </row>
    <row r="117" ht="22.5" customHeight="1">
      <c r="A117" s="10"/>
      <c r="B117" t="s" s="52">
        <v>49</v>
      </c>
      <c r="C117" s="11"/>
      <c r="D117" s="70"/>
      <c r="E117" t="s" s="72">
        <v>136</v>
      </c>
      <c r="F117" s="73"/>
      <c r="G117" s="73"/>
      <c r="H117" t="s" s="52">
        <v>45</v>
      </c>
      <c r="I117" s="11"/>
      <c r="J117" s="11"/>
      <c r="K117" s="11"/>
      <c r="L117" s="11"/>
      <c r="M117" s="12"/>
    </row>
    <row r="118" ht="22.5" customHeight="1">
      <c r="A118" s="10"/>
      <c r="B118" s="11"/>
      <c r="C118" s="11"/>
      <c r="D118" s="11"/>
      <c r="E118" s="11"/>
      <c r="F118" s="11"/>
      <c r="G118" s="11"/>
      <c r="H118" s="11"/>
      <c r="I118" s="11"/>
      <c r="J118" s="11"/>
      <c r="K118" s="11"/>
      <c r="L118" s="11"/>
      <c r="M118" s="12"/>
    </row>
    <row r="119" ht="22.5" customHeight="1">
      <c r="A119" s="10"/>
      <c r="B119" s="11"/>
      <c r="C119" s="11"/>
      <c r="D119" s="11"/>
      <c r="E119" s="11"/>
      <c r="F119" s="11"/>
      <c r="G119" s="11"/>
      <c r="H119" s="11"/>
      <c r="I119" s="11"/>
      <c r="J119" s="11"/>
      <c r="K119" s="11"/>
      <c r="L119" s="11"/>
      <c r="M119" s="12"/>
    </row>
    <row r="120" ht="22.5" customHeight="1">
      <c r="A120" s="10"/>
      <c r="B120" s="11"/>
      <c r="C120" s="11"/>
      <c r="D120" s="11"/>
      <c r="E120" s="11"/>
      <c r="F120" s="11"/>
      <c r="G120" s="11"/>
      <c r="H120" s="11"/>
      <c r="I120" s="11"/>
      <c r="J120" s="11"/>
      <c r="K120" s="11"/>
      <c r="L120" s="11"/>
      <c r="M120" s="12"/>
    </row>
    <row r="121" ht="22.5" customHeight="1">
      <c r="A121" s="10"/>
      <c r="B121" s="11"/>
      <c r="C121" s="11"/>
      <c r="D121" s="11"/>
      <c r="E121" s="11"/>
      <c r="F121" s="11"/>
      <c r="G121" s="11"/>
      <c r="H121" s="11"/>
      <c r="I121" s="11"/>
      <c r="J121" s="11"/>
      <c r="K121" s="11"/>
      <c r="L121" s="11"/>
      <c r="M121" s="12"/>
    </row>
    <row r="122" ht="22.5" customHeight="1">
      <c r="A122" s="10"/>
      <c r="B122" s="11"/>
      <c r="C122" s="11"/>
      <c r="D122" s="11"/>
      <c r="E122" s="11"/>
      <c r="F122" s="11"/>
      <c r="G122" s="11"/>
      <c r="H122" s="11"/>
      <c r="I122" s="11"/>
      <c r="J122" s="11"/>
      <c r="K122" s="11"/>
      <c r="L122" s="11"/>
      <c r="M122" s="12"/>
    </row>
    <row r="123" ht="22.5" customHeight="1">
      <c r="A123" s="10"/>
      <c r="B123" s="11"/>
      <c r="C123" s="11"/>
      <c r="D123" s="11"/>
      <c r="E123" s="11"/>
      <c r="F123" s="11"/>
      <c r="G123" s="11"/>
      <c r="H123" s="11"/>
      <c r="I123" s="11"/>
      <c r="J123" s="11"/>
      <c r="K123" s="11"/>
      <c r="L123" s="11"/>
      <c r="M123" s="12"/>
    </row>
    <row r="124" ht="22.5" customHeight="1">
      <c r="A124" s="10"/>
      <c r="B124" s="11"/>
      <c r="C124" s="11"/>
      <c r="D124" s="11"/>
      <c r="E124" s="11"/>
      <c r="F124" s="11"/>
      <c r="G124" s="11"/>
      <c r="H124" s="11"/>
      <c r="I124" s="11"/>
      <c r="J124" s="11"/>
      <c r="K124" s="11"/>
      <c r="L124" s="11"/>
      <c r="M124" s="12"/>
    </row>
    <row r="125" ht="22.5" customHeight="1">
      <c r="A125" s="10"/>
      <c r="B125" s="11"/>
      <c r="C125" s="11"/>
      <c r="D125" s="11"/>
      <c r="E125" s="11"/>
      <c r="F125" s="11"/>
      <c r="G125" s="11"/>
      <c r="H125" s="11"/>
      <c r="I125" s="11"/>
      <c r="J125" s="11"/>
      <c r="K125" s="11"/>
      <c r="L125" s="11"/>
      <c r="M125" s="12"/>
    </row>
    <row r="126" ht="22.5" customHeight="1">
      <c r="A126" s="10"/>
      <c r="B126" s="11"/>
      <c r="C126" s="11"/>
      <c r="D126" s="11"/>
      <c r="E126" s="11"/>
      <c r="F126" s="11"/>
      <c r="G126" s="11"/>
      <c r="H126" s="11"/>
      <c r="I126" s="11"/>
      <c r="J126" s="11"/>
      <c r="K126" s="11"/>
      <c r="L126" s="11"/>
      <c r="M126" s="12"/>
    </row>
    <row r="127" ht="22.5" customHeight="1">
      <c r="A127" s="10"/>
      <c r="B127" s="11"/>
      <c r="C127" s="11"/>
      <c r="D127" s="11"/>
      <c r="E127" s="11"/>
      <c r="F127" s="11"/>
      <c r="G127" s="11"/>
      <c r="H127" s="11"/>
      <c r="I127" s="11"/>
      <c r="J127" s="11"/>
      <c r="K127" s="11"/>
      <c r="L127" s="11"/>
      <c r="M127" s="12"/>
    </row>
    <row r="128" ht="22.5" customHeight="1">
      <c r="A128" s="10"/>
      <c r="B128" s="11"/>
      <c r="C128" s="11"/>
      <c r="D128" s="11"/>
      <c r="E128" s="11"/>
      <c r="F128" s="11"/>
      <c r="G128" s="11"/>
      <c r="H128" s="11"/>
      <c r="I128" s="11"/>
      <c r="J128" s="11"/>
      <c r="K128" s="11"/>
      <c r="L128" s="11"/>
      <c r="M128" s="12"/>
    </row>
    <row r="129" ht="22.5" customHeight="1">
      <c r="A129" s="10"/>
      <c r="B129" s="11"/>
      <c r="C129" s="11"/>
      <c r="D129" s="11"/>
      <c r="E129" s="11"/>
      <c r="F129" s="11"/>
      <c r="G129" s="11"/>
      <c r="H129" s="11"/>
      <c r="I129" s="11"/>
      <c r="J129" s="11"/>
      <c r="K129" s="11"/>
      <c r="L129" s="11"/>
      <c r="M129" s="12"/>
    </row>
    <row r="130" ht="22.5" customHeight="1">
      <c r="A130" s="10"/>
      <c r="B130" s="11"/>
      <c r="C130" s="11"/>
      <c r="D130" s="11"/>
      <c r="E130" s="11"/>
      <c r="F130" s="11"/>
      <c r="G130" s="11"/>
      <c r="H130" s="11"/>
      <c r="I130" s="11"/>
      <c r="J130" s="11"/>
      <c r="K130" s="11"/>
      <c r="L130" s="11"/>
      <c r="M130" s="12"/>
    </row>
    <row r="131" ht="22.5" customHeight="1">
      <c r="A131" s="10"/>
      <c r="B131" s="11"/>
      <c r="C131" s="11"/>
      <c r="D131" s="11"/>
      <c r="E131" s="11"/>
      <c r="F131" s="11"/>
      <c r="G131" s="11"/>
      <c r="H131" s="11"/>
      <c r="I131" s="11"/>
      <c r="J131" s="11"/>
      <c r="K131" s="11"/>
      <c r="L131" s="11"/>
      <c r="M131" s="12"/>
    </row>
    <row r="132" ht="22.5" customHeight="1">
      <c r="A132" s="10"/>
      <c r="B132" s="11"/>
      <c r="C132" s="11"/>
      <c r="D132" s="11"/>
      <c r="E132" s="11"/>
      <c r="F132" s="11"/>
      <c r="G132" s="11"/>
      <c r="H132" s="11"/>
      <c r="I132" s="11"/>
      <c r="J132" s="11"/>
      <c r="K132" s="11"/>
      <c r="L132" s="11"/>
      <c r="M132" s="12"/>
    </row>
    <row r="133" ht="22.5" customHeight="1">
      <c r="A133" s="10"/>
      <c r="B133" s="11"/>
      <c r="C133" s="11"/>
      <c r="D133" s="11"/>
      <c r="E133" s="11"/>
      <c r="F133" s="11"/>
      <c r="G133" s="11"/>
      <c r="H133" s="11"/>
      <c r="I133" s="11"/>
      <c r="J133" s="11"/>
      <c r="K133" s="11"/>
      <c r="L133" s="11"/>
      <c r="M133" s="12"/>
    </row>
    <row r="134" ht="22.5" customHeight="1">
      <c r="A134" s="10"/>
      <c r="B134" s="11"/>
      <c r="C134" s="11"/>
      <c r="D134" s="11"/>
      <c r="E134" s="11"/>
      <c r="F134" s="11"/>
      <c r="G134" s="11"/>
      <c r="H134" s="11"/>
      <c r="I134" s="11"/>
      <c r="J134" s="11"/>
      <c r="K134" s="11"/>
      <c r="L134" s="11"/>
      <c r="M134" s="12"/>
    </row>
    <row r="135" ht="22.5" customHeight="1">
      <c r="A135" s="10"/>
      <c r="B135" s="11"/>
      <c r="C135" s="11"/>
      <c r="D135" s="11"/>
      <c r="E135" s="11"/>
      <c r="F135" s="11"/>
      <c r="G135" s="11"/>
      <c r="H135" s="11"/>
      <c r="I135" s="11"/>
      <c r="J135" s="11"/>
      <c r="K135" s="11"/>
      <c r="L135" s="11"/>
      <c r="M135" s="12"/>
    </row>
    <row r="136" ht="22.5" customHeight="1">
      <c r="A136" s="10"/>
      <c r="B136" s="11"/>
      <c r="C136" s="11"/>
      <c r="D136" s="11"/>
      <c r="E136" s="11"/>
      <c r="F136" s="11"/>
      <c r="G136" s="11"/>
      <c r="H136" s="11"/>
      <c r="I136" s="11"/>
      <c r="J136" s="11"/>
      <c r="K136" s="11"/>
      <c r="L136" s="11"/>
      <c r="M136" s="12"/>
    </row>
    <row r="137" ht="22.5" customHeight="1">
      <c r="A137" s="10"/>
      <c r="B137" s="11"/>
      <c r="C137" s="11"/>
      <c r="D137" s="11"/>
      <c r="E137" s="11"/>
      <c r="F137" s="11"/>
      <c r="G137" s="11"/>
      <c r="H137" s="11"/>
      <c r="I137" s="11"/>
      <c r="J137" s="11"/>
      <c r="K137" s="11"/>
      <c r="L137" s="11"/>
      <c r="M137" s="12"/>
    </row>
    <row r="138" ht="22.5" customHeight="1">
      <c r="A138" s="10"/>
      <c r="B138" s="11"/>
      <c r="C138" s="11"/>
      <c r="D138" s="11"/>
      <c r="E138" s="11"/>
      <c r="F138" s="11"/>
      <c r="G138" s="11"/>
      <c r="H138" s="11"/>
      <c r="I138" s="11"/>
      <c r="J138" s="11"/>
      <c r="K138" s="11"/>
      <c r="L138" s="11"/>
      <c r="M138" s="12"/>
    </row>
    <row r="139" ht="22.5" customHeight="1">
      <c r="A139" s="10"/>
      <c r="B139" s="11"/>
      <c r="C139" s="11"/>
      <c r="D139" s="11"/>
      <c r="E139" s="11"/>
      <c r="F139" s="11"/>
      <c r="G139" s="11"/>
      <c r="H139" s="11"/>
      <c r="I139" s="11"/>
      <c r="J139" s="11"/>
      <c r="K139" s="11"/>
      <c r="L139" s="11"/>
      <c r="M139" s="12"/>
    </row>
    <row r="140" ht="22.5" customHeight="1">
      <c r="A140" s="10"/>
      <c r="B140" s="11"/>
      <c r="C140" s="11"/>
      <c r="D140" s="11"/>
      <c r="E140" s="11"/>
      <c r="F140" s="11"/>
      <c r="G140" s="11"/>
      <c r="H140" s="11"/>
      <c r="I140" s="11"/>
      <c r="J140" s="11"/>
      <c r="K140" s="11"/>
      <c r="L140" s="11"/>
      <c r="M140" s="12"/>
    </row>
    <row r="141" ht="22.5" customHeight="1">
      <c r="A141" s="10"/>
      <c r="B141" s="11"/>
      <c r="C141" s="11"/>
      <c r="D141" s="11"/>
      <c r="E141" s="11"/>
      <c r="F141" s="11"/>
      <c r="G141" s="11"/>
      <c r="H141" s="11"/>
      <c r="I141" s="11"/>
      <c r="J141" s="11"/>
      <c r="K141" s="11"/>
      <c r="L141" s="11"/>
      <c r="M141" s="12"/>
    </row>
    <row r="142" ht="22.5" customHeight="1">
      <c r="A142" s="10"/>
      <c r="B142" s="11"/>
      <c r="C142" s="11"/>
      <c r="D142" s="11"/>
      <c r="E142" s="11"/>
      <c r="F142" s="11"/>
      <c r="G142" s="11"/>
      <c r="H142" s="11"/>
      <c r="I142" s="11"/>
      <c r="J142" s="11"/>
      <c r="K142" s="11"/>
      <c r="L142" s="11"/>
      <c r="M142" s="12"/>
    </row>
    <row r="143" ht="46.5" customHeight="1">
      <c r="A143" t="s" s="49">
        <v>52</v>
      </c>
      <c r="B143" s="11"/>
      <c r="C143" s="11"/>
      <c r="D143" s="11"/>
      <c r="E143" s="11"/>
      <c r="F143" s="11"/>
      <c r="G143" s="11"/>
      <c r="H143" s="11"/>
      <c r="I143" s="106"/>
      <c r="J143" s="11"/>
      <c r="K143" s="11"/>
      <c r="L143" s="11"/>
      <c r="M143" s="12"/>
    </row>
    <row r="144" ht="22.5" customHeight="1">
      <c r="A144" s="50">
        <v>2030</v>
      </c>
      <c r="B144" s="51"/>
      <c r="C144" t="s" s="52">
        <v>77</v>
      </c>
      <c r="D144" s="11"/>
      <c r="E144" s="11"/>
      <c r="F144" s="11"/>
      <c r="G144" s="11"/>
      <c r="H144" s="11"/>
      <c r="I144" s="11"/>
      <c r="J144" s="11"/>
      <c r="K144" s="11"/>
      <c r="L144" s="11"/>
      <c r="M144" s="12"/>
    </row>
    <row r="145" ht="22.5" customHeight="1">
      <c r="A145" s="10"/>
      <c r="B145" s="11"/>
      <c r="C145" s="11"/>
      <c r="D145" s="11"/>
      <c r="E145" s="11"/>
      <c r="F145" s="11"/>
      <c r="G145" s="11"/>
      <c r="H145" s="11"/>
      <c r="I145" s="11"/>
      <c r="J145" s="11"/>
      <c r="K145" s="11"/>
      <c r="L145" s="11"/>
      <c r="M145" s="12"/>
    </row>
    <row r="146" ht="22.5" customHeight="1">
      <c r="A146" s="10"/>
      <c r="B146" s="11"/>
      <c r="C146" s="11"/>
      <c r="D146" s="11"/>
      <c r="E146" s="11"/>
      <c r="F146" s="11"/>
      <c r="G146" s="11"/>
      <c r="H146" s="11"/>
      <c r="I146" s="11"/>
      <c r="J146" s="11"/>
      <c r="K146" s="11"/>
      <c r="L146" s="11"/>
      <c r="M146" s="12"/>
    </row>
    <row r="147" ht="22.5" customHeight="1">
      <c r="A147" s="10"/>
      <c r="B147" s="11"/>
      <c r="C147" s="11"/>
      <c r="D147" s="11"/>
      <c r="E147" s="11"/>
      <c r="F147" s="11"/>
      <c r="G147" s="11"/>
      <c r="H147" s="11"/>
      <c r="I147" s="11"/>
      <c r="J147" s="11"/>
      <c r="K147" s="11"/>
      <c r="L147" s="11"/>
      <c r="M147" s="12"/>
    </row>
    <row r="148" ht="22.5" customHeight="1">
      <c r="A148" s="10"/>
      <c r="B148" s="11"/>
      <c r="C148" s="11"/>
      <c r="D148" s="11"/>
      <c r="E148" s="11"/>
      <c r="F148" s="11"/>
      <c r="G148" s="11"/>
      <c r="H148" s="11"/>
      <c r="I148" s="11"/>
      <c r="J148" s="11"/>
      <c r="K148" s="11"/>
      <c r="L148" s="11"/>
      <c r="M148" s="12"/>
    </row>
    <row r="149" ht="22.5" customHeight="1">
      <c r="A149" s="10"/>
      <c r="B149" s="11"/>
      <c r="C149" s="11"/>
      <c r="D149" s="11"/>
      <c r="E149" s="11"/>
      <c r="F149" s="11"/>
      <c r="G149" s="11"/>
      <c r="H149" s="11"/>
      <c r="I149" s="11"/>
      <c r="J149" s="11"/>
      <c r="K149" s="11"/>
      <c r="L149" s="11"/>
      <c r="M149" s="12"/>
    </row>
    <row r="150" ht="22.5" customHeight="1">
      <c r="A150" s="10"/>
      <c r="B150" s="11"/>
      <c r="C150" s="11"/>
      <c r="D150" s="11"/>
      <c r="E150" s="11"/>
      <c r="F150" s="11"/>
      <c r="G150" s="11"/>
      <c r="H150" s="11"/>
      <c r="I150" s="11"/>
      <c r="J150" s="11"/>
      <c r="K150" s="11"/>
      <c r="L150" s="11"/>
      <c r="M150" s="12"/>
    </row>
    <row r="151" ht="22.5" customHeight="1">
      <c r="A151" s="10"/>
      <c r="B151" s="11"/>
      <c r="C151" s="11"/>
      <c r="D151" s="11"/>
      <c r="E151" s="11"/>
      <c r="F151" s="11"/>
      <c r="G151" s="11"/>
      <c r="H151" s="11"/>
      <c r="I151" s="11"/>
      <c r="J151" s="11"/>
      <c r="K151" s="11"/>
      <c r="L151" s="11"/>
      <c r="M151" s="12"/>
    </row>
    <row r="152" ht="22.5" customHeight="1">
      <c r="A152" s="10"/>
      <c r="B152" s="11"/>
      <c r="C152" s="11"/>
      <c r="D152" s="11"/>
      <c r="E152" s="11"/>
      <c r="F152" s="11"/>
      <c r="G152" s="11"/>
      <c r="H152" s="11"/>
      <c r="I152" s="11"/>
      <c r="J152" s="11"/>
      <c r="K152" s="11"/>
      <c r="L152" s="11"/>
      <c r="M152" s="12"/>
    </row>
    <row r="153" ht="22.5" customHeight="1">
      <c r="A153" s="10"/>
      <c r="B153" s="11"/>
      <c r="C153" s="11"/>
      <c r="D153" s="11"/>
      <c r="E153" s="11"/>
      <c r="F153" s="11"/>
      <c r="G153" s="11"/>
      <c r="H153" s="11"/>
      <c r="I153" s="11"/>
      <c r="J153" s="11"/>
      <c r="K153" s="11"/>
      <c r="L153" s="11"/>
      <c r="M153" s="12"/>
    </row>
    <row r="154" ht="22.5" customHeight="1">
      <c r="A154" s="10"/>
      <c r="B154" s="11"/>
      <c r="C154" s="11"/>
      <c r="D154" s="11"/>
      <c r="E154" s="11"/>
      <c r="F154" s="11"/>
      <c r="G154" s="11"/>
      <c r="H154" s="11"/>
      <c r="I154" s="11"/>
      <c r="J154" s="11"/>
      <c r="K154" s="11"/>
      <c r="L154" s="11"/>
      <c r="M154" s="12"/>
    </row>
    <row r="155" ht="22.5" customHeight="1">
      <c r="A155" s="10"/>
      <c r="B155" s="11"/>
      <c r="C155" s="11"/>
      <c r="D155" s="11"/>
      <c r="E155" s="11"/>
      <c r="F155" s="11"/>
      <c r="G155" s="11"/>
      <c r="H155" s="11"/>
      <c r="I155" s="11"/>
      <c r="J155" s="11"/>
      <c r="K155" s="11"/>
      <c r="L155" s="11"/>
      <c r="M155" s="12"/>
    </row>
    <row r="156" ht="22.5" customHeight="1">
      <c r="A156" s="10"/>
      <c r="B156" s="11"/>
      <c r="C156" s="11"/>
      <c r="D156" s="11"/>
      <c r="E156" s="11"/>
      <c r="F156" s="11"/>
      <c r="G156" s="11"/>
      <c r="H156" s="11"/>
      <c r="I156" s="11"/>
      <c r="J156" s="11"/>
      <c r="K156" s="11"/>
      <c r="L156" s="11"/>
      <c r="M156" s="12"/>
    </row>
    <row r="157" ht="22.5" customHeight="1">
      <c r="A157" s="10"/>
      <c r="B157" s="11"/>
      <c r="C157" s="11"/>
      <c r="D157" s="11"/>
      <c r="E157" s="11"/>
      <c r="F157" s="11"/>
      <c r="G157" s="11"/>
      <c r="H157" s="11"/>
      <c r="I157" s="11"/>
      <c r="J157" s="11"/>
      <c r="K157" s="11"/>
      <c r="L157" s="11"/>
      <c r="M157" s="12"/>
    </row>
    <row r="158" ht="22.5" customHeight="1">
      <c r="A158" s="10"/>
      <c r="B158" s="11"/>
      <c r="C158" s="11"/>
      <c r="D158" s="11"/>
      <c r="E158" s="11"/>
      <c r="F158" s="11"/>
      <c r="G158" s="11"/>
      <c r="H158" s="11"/>
      <c r="I158" s="11"/>
      <c r="J158" s="11"/>
      <c r="K158" s="11"/>
      <c r="L158" s="11"/>
      <c r="M158" s="12"/>
    </row>
    <row r="159" ht="22.5" customHeight="1">
      <c r="A159" s="10"/>
      <c r="B159" s="11"/>
      <c r="C159" s="11"/>
      <c r="D159" s="11"/>
      <c r="E159" s="11"/>
      <c r="F159" s="11"/>
      <c r="G159" s="11"/>
      <c r="H159" s="11"/>
      <c r="I159" s="11"/>
      <c r="J159" s="11"/>
      <c r="K159" s="11"/>
      <c r="L159" s="11"/>
      <c r="M159" s="12"/>
    </row>
    <row r="160" ht="22.5" customHeight="1">
      <c r="A160" s="10"/>
      <c r="B160" s="11"/>
      <c r="C160" s="11"/>
      <c r="D160" s="11"/>
      <c r="E160" s="11"/>
      <c r="F160" s="11"/>
      <c r="G160" s="11"/>
      <c r="H160" s="11"/>
      <c r="I160" s="11"/>
      <c r="J160" s="11"/>
      <c r="K160" s="11"/>
      <c r="L160" s="11"/>
      <c r="M160" s="12"/>
    </row>
    <row r="161" ht="22.5" customHeight="1">
      <c r="A161" s="10"/>
      <c r="B161" s="11"/>
      <c r="C161" s="11"/>
      <c r="D161" s="11"/>
      <c r="E161" s="11"/>
      <c r="F161" s="11"/>
      <c r="G161" s="11"/>
      <c r="H161" s="11"/>
      <c r="I161" s="11"/>
      <c r="J161" s="11"/>
      <c r="K161" s="11"/>
      <c r="L161" s="11"/>
      <c r="M161" s="12"/>
    </row>
    <row r="162" ht="22.5" customHeight="1">
      <c r="A162" s="10"/>
      <c r="B162" s="11"/>
      <c r="C162" s="11"/>
      <c r="D162" s="11"/>
      <c r="E162" s="11"/>
      <c r="F162" s="11"/>
      <c r="G162" s="11"/>
      <c r="H162" s="11"/>
      <c r="I162" s="11"/>
      <c r="J162" s="11"/>
      <c r="K162" s="11"/>
      <c r="L162" s="11"/>
      <c r="M162" s="12"/>
    </row>
    <row r="163" ht="22.5" customHeight="1">
      <c r="A163" s="10"/>
      <c r="B163" s="11"/>
      <c r="C163" s="11"/>
      <c r="D163" s="11"/>
      <c r="E163" s="11"/>
      <c r="F163" s="11"/>
      <c r="G163" s="11"/>
      <c r="H163" s="11"/>
      <c r="I163" s="11"/>
      <c r="J163" s="11"/>
      <c r="K163" s="11"/>
      <c r="L163" s="11"/>
      <c r="M163" s="12"/>
    </row>
    <row r="164" ht="22.5" customHeight="1">
      <c r="A164" s="10"/>
      <c r="B164" s="11"/>
      <c r="C164" s="11"/>
      <c r="D164" s="11"/>
      <c r="E164" s="11"/>
      <c r="F164" s="11"/>
      <c r="G164" s="11"/>
      <c r="H164" s="11"/>
      <c r="I164" s="11"/>
      <c r="J164" s="11"/>
      <c r="K164" s="11"/>
      <c r="L164" s="11"/>
      <c r="M164" s="12"/>
    </row>
    <row r="165" ht="22.5" customHeight="1">
      <c r="A165" s="10"/>
      <c r="B165" s="11"/>
      <c r="C165" s="11"/>
      <c r="D165" s="11"/>
      <c r="E165" s="11"/>
      <c r="F165" s="11"/>
      <c r="G165" s="11"/>
      <c r="H165" s="11"/>
      <c r="I165" s="11"/>
      <c r="J165" s="11"/>
      <c r="K165" s="11"/>
      <c r="L165" s="11"/>
      <c r="M165" s="12"/>
    </row>
    <row r="166" ht="22.5" customHeight="1">
      <c r="A166" s="10"/>
      <c r="B166" s="11"/>
      <c r="C166" s="11"/>
      <c r="D166" s="11"/>
      <c r="E166" s="11"/>
      <c r="F166" s="11"/>
      <c r="G166" s="11"/>
      <c r="H166" s="11"/>
      <c r="I166" s="11"/>
      <c r="J166" s="11"/>
      <c r="K166" s="11"/>
      <c r="L166" s="11"/>
      <c r="M166" s="12"/>
    </row>
    <row r="167" ht="22.5" customHeight="1">
      <c r="A167" s="10"/>
      <c r="B167" s="11"/>
      <c r="C167" s="11"/>
      <c r="D167" s="11"/>
      <c r="E167" s="11"/>
      <c r="F167" s="11"/>
      <c r="G167" s="11"/>
      <c r="H167" s="11"/>
      <c r="I167" s="11"/>
      <c r="J167" s="11"/>
      <c r="K167" s="11"/>
      <c r="L167" s="11"/>
      <c r="M167" s="12"/>
    </row>
    <row r="168" ht="22.5" customHeight="1">
      <c r="A168" s="10"/>
      <c r="B168" s="11"/>
      <c r="C168" s="11"/>
      <c r="D168" s="11"/>
      <c r="E168" s="11"/>
      <c r="F168" s="11"/>
      <c r="G168" s="11"/>
      <c r="H168" s="11"/>
      <c r="I168" s="11"/>
      <c r="J168" s="11"/>
      <c r="K168" s="11"/>
      <c r="L168" s="11"/>
      <c r="M168" s="12"/>
    </row>
    <row r="169" ht="22.5" customHeight="1">
      <c r="A169" s="10"/>
      <c r="B169" s="11"/>
      <c r="C169" s="11"/>
      <c r="D169" s="11"/>
      <c r="E169" s="11"/>
      <c r="F169" s="11"/>
      <c r="G169" s="11"/>
      <c r="H169" s="11"/>
      <c r="I169" s="11"/>
      <c r="J169" s="11"/>
      <c r="K169" s="11"/>
      <c r="L169" s="11"/>
      <c r="M169" s="12"/>
    </row>
    <row r="170" ht="22.5" customHeight="1">
      <c r="A170" s="10"/>
      <c r="B170" s="11"/>
      <c r="C170" s="11"/>
      <c r="D170" s="11"/>
      <c r="E170" s="11"/>
      <c r="F170" s="11"/>
      <c r="G170" s="11"/>
      <c r="H170" s="11"/>
      <c r="I170" s="11"/>
      <c r="J170" s="11"/>
      <c r="K170" s="11"/>
      <c r="L170" s="11"/>
      <c r="M170" s="12"/>
    </row>
    <row r="171" ht="22.5" customHeight="1">
      <c r="A171" s="10"/>
      <c r="B171" s="11"/>
      <c r="C171" s="11"/>
      <c r="D171" s="11"/>
      <c r="E171" s="11"/>
      <c r="F171" s="11"/>
      <c r="G171" s="11"/>
      <c r="H171" s="11"/>
      <c r="I171" s="11"/>
      <c r="J171" s="11"/>
      <c r="K171" s="11"/>
      <c r="L171" s="11"/>
      <c r="M171" s="12"/>
    </row>
    <row r="172" ht="22.5" customHeight="1">
      <c r="A172" s="10"/>
      <c r="B172" s="11"/>
      <c r="C172" s="11"/>
      <c r="D172" s="11"/>
      <c r="E172" s="11"/>
      <c r="F172" s="11"/>
      <c r="G172" s="11"/>
      <c r="H172" s="11"/>
      <c r="I172" s="11"/>
      <c r="J172" s="11"/>
      <c r="K172" s="11"/>
      <c r="L172" s="11"/>
      <c r="M172" s="12"/>
    </row>
    <row r="173" ht="22.5" customHeight="1">
      <c r="A173" s="10"/>
      <c r="B173" s="11"/>
      <c r="C173" s="11"/>
      <c r="D173" s="11"/>
      <c r="E173" s="11"/>
      <c r="F173" s="11"/>
      <c r="G173" s="11"/>
      <c r="H173" s="11"/>
      <c r="I173" s="11"/>
      <c r="J173" s="11"/>
      <c r="K173" s="11"/>
      <c r="L173" s="11"/>
      <c r="M173" s="12"/>
    </row>
    <row r="174" ht="22.5" customHeight="1">
      <c r="A174" s="10"/>
      <c r="B174" s="11"/>
      <c r="C174" s="11"/>
      <c r="D174" s="11"/>
      <c r="E174" s="11"/>
      <c r="F174" s="11"/>
      <c r="G174" s="11"/>
      <c r="H174" s="11"/>
      <c r="I174" s="11"/>
      <c r="J174" s="11"/>
      <c r="K174" s="11"/>
      <c r="L174" s="11"/>
      <c r="M174" s="12"/>
    </row>
    <row r="175" ht="22.5" customHeight="1">
      <c r="A175" s="10"/>
      <c r="B175" s="11"/>
      <c r="C175" s="11"/>
      <c r="D175" s="11"/>
      <c r="E175" s="11"/>
      <c r="F175" s="11"/>
      <c r="G175" s="11"/>
      <c r="H175" s="11"/>
      <c r="I175" s="11"/>
      <c r="J175" s="11"/>
      <c r="K175" s="11"/>
      <c r="L175" s="11"/>
      <c r="M175" s="12"/>
    </row>
    <row r="176" ht="22.5" customHeight="1">
      <c r="A176" s="10"/>
      <c r="B176" s="11"/>
      <c r="C176" s="11"/>
      <c r="D176" s="11"/>
      <c r="E176" s="11"/>
      <c r="F176" s="11"/>
      <c r="G176" s="11"/>
      <c r="H176" s="11"/>
      <c r="I176" s="11"/>
      <c r="J176" s="11"/>
      <c r="K176" s="11"/>
      <c r="L176" s="11"/>
      <c r="M176" s="12"/>
    </row>
    <row r="177" ht="22.5" customHeight="1">
      <c r="A177" s="50">
        <v>2040</v>
      </c>
      <c r="B177" s="51"/>
      <c r="C177" t="s" s="52">
        <v>77</v>
      </c>
      <c r="D177" s="11"/>
      <c r="E177" s="11"/>
      <c r="F177" s="11"/>
      <c r="G177" s="11"/>
      <c r="H177" s="11"/>
      <c r="I177" s="11"/>
      <c r="J177" s="11"/>
      <c r="K177" s="11"/>
      <c r="L177" s="11"/>
      <c r="M177" s="12"/>
    </row>
    <row r="178" ht="22.5" customHeight="1">
      <c r="A178" s="10"/>
      <c r="B178" s="11"/>
      <c r="C178" s="11"/>
      <c r="D178" s="11"/>
      <c r="E178" s="95"/>
      <c r="F178" s="95"/>
      <c r="G178" s="95"/>
      <c r="H178" s="95"/>
      <c r="I178" s="95"/>
      <c r="J178" s="11"/>
      <c r="K178" s="11"/>
      <c r="L178" s="11"/>
      <c r="M178" s="12"/>
    </row>
    <row r="179" ht="22.5" customHeight="1">
      <c r="A179" s="10"/>
      <c r="B179" s="11"/>
      <c r="C179" s="11"/>
      <c r="D179" s="11"/>
      <c r="E179" s="11"/>
      <c r="F179" s="11"/>
      <c r="G179" s="11"/>
      <c r="H179" s="11"/>
      <c r="I179" s="11"/>
      <c r="J179" s="11"/>
      <c r="K179" s="11"/>
      <c r="L179" s="11"/>
      <c r="M179" s="12"/>
    </row>
    <row r="180" ht="22.5" customHeight="1">
      <c r="A180" s="10"/>
      <c r="B180" s="11"/>
      <c r="C180" s="11"/>
      <c r="D180" s="11"/>
      <c r="E180" s="11"/>
      <c r="F180" s="11"/>
      <c r="G180" s="11"/>
      <c r="H180" s="11"/>
      <c r="I180" s="11"/>
      <c r="J180" s="11"/>
      <c r="K180" s="11"/>
      <c r="L180" s="11"/>
      <c r="M180" s="12"/>
    </row>
    <row r="181" ht="22.5" customHeight="1">
      <c r="A181" s="10"/>
      <c r="B181" s="11"/>
      <c r="C181" s="11"/>
      <c r="D181" s="11"/>
      <c r="E181" s="11"/>
      <c r="F181" s="11"/>
      <c r="G181" s="11"/>
      <c r="H181" s="11"/>
      <c r="I181" s="11"/>
      <c r="J181" s="11"/>
      <c r="K181" s="11"/>
      <c r="L181" s="11"/>
      <c r="M181" s="12"/>
    </row>
    <row r="182" ht="22.5" customHeight="1">
      <c r="A182" s="10"/>
      <c r="B182" s="11"/>
      <c r="C182" s="11"/>
      <c r="D182" s="11"/>
      <c r="E182" s="11"/>
      <c r="F182" s="11"/>
      <c r="G182" s="11"/>
      <c r="H182" s="11"/>
      <c r="I182" s="11"/>
      <c r="J182" s="11"/>
      <c r="K182" s="11"/>
      <c r="L182" s="11"/>
      <c r="M182" s="12"/>
    </row>
    <row r="183" ht="22.5" customHeight="1">
      <c r="A183" s="10"/>
      <c r="B183" s="11"/>
      <c r="C183" s="11"/>
      <c r="D183" s="11"/>
      <c r="E183" s="11"/>
      <c r="F183" s="11"/>
      <c r="G183" s="11"/>
      <c r="H183" s="11"/>
      <c r="I183" s="11"/>
      <c r="J183" s="11"/>
      <c r="K183" s="11"/>
      <c r="L183" s="11"/>
      <c r="M183" s="12"/>
    </row>
    <row r="184" ht="22.5" customHeight="1">
      <c r="A184" s="10"/>
      <c r="B184" s="11"/>
      <c r="C184" s="11"/>
      <c r="D184" s="11"/>
      <c r="E184" s="11"/>
      <c r="F184" s="11"/>
      <c r="G184" s="11"/>
      <c r="H184" s="11"/>
      <c r="I184" s="11"/>
      <c r="J184" s="11"/>
      <c r="K184" s="11"/>
      <c r="L184" s="11"/>
      <c r="M184" s="12"/>
    </row>
    <row r="185" ht="22.5" customHeight="1">
      <c r="A185" s="10"/>
      <c r="B185" s="11"/>
      <c r="C185" s="11"/>
      <c r="D185" s="11"/>
      <c r="E185" s="11"/>
      <c r="F185" s="11"/>
      <c r="G185" s="11"/>
      <c r="H185" s="11"/>
      <c r="I185" s="11"/>
      <c r="J185" s="11"/>
      <c r="K185" s="11"/>
      <c r="L185" s="11"/>
      <c r="M185" s="12"/>
    </row>
    <row r="186" ht="22.5" customHeight="1">
      <c r="A186" s="10"/>
      <c r="B186" s="11"/>
      <c r="C186" s="11"/>
      <c r="D186" s="11"/>
      <c r="E186" s="11"/>
      <c r="F186" s="11"/>
      <c r="G186" s="11"/>
      <c r="H186" s="11"/>
      <c r="I186" s="11"/>
      <c r="J186" s="11"/>
      <c r="K186" s="11"/>
      <c r="L186" s="11"/>
      <c r="M186" s="12"/>
    </row>
    <row r="187" ht="22.5" customHeight="1">
      <c r="A187" s="10"/>
      <c r="B187" s="11"/>
      <c r="C187" s="11"/>
      <c r="D187" s="11"/>
      <c r="E187" s="11"/>
      <c r="F187" s="11"/>
      <c r="G187" s="11"/>
      <c r="H187" s="11"/>
      <c r="I187" s="11"/>
      <c r="J187" s="11"/>
      <c r="K187" s="11"/>
      <c r="L187" s="11"/>
      <c r="M187" s="12"/>
    </row>
    <row r="188" ht="22.5" customHeight="1">
      <c r="A188" s="10"/>
      <c r="B188" s="11"/>
      <c r="C188" s="11"/>
      <c r="D188" s="11"/>
      <c r="E188" s="11"/>
      <c r="F188" s="11"/>
      <c r="G188" s="11"/>
      <c r="H188" s="11"/>
      <c r="I188" s="11"/>
      <c r="J188" s="11"/>
      <c r="K188" s="11"/>
      <c r="L188" s="11"/>
      <c r="M188" s="12"/>
    </row>
    <row r="189" ht="22.5" customHeight="1">
      <c r="A189" s="10"/>
      <c r="B189" s="11"/>
      <c r="C189" s="11"/>
      <c r="D189" s="11"/>
      <c r="E189" s="11"/>
      <c r="F189" s="11"/>
      <c r="G189" s="11"/>
      <c r="H189" s="11"/>
      <c r="I189" s="11"/>
      <c r="J189" s="11"/>
      <c r="K189" s="11"/>
      <c r="L189" s="11"/>
      <c r="M189" s="12"/>
    </row>
    <row r="190" ht="22.5" customHeight="1">
      <c r="A190" s="10"/>
      <c r="B190" s="11"/>
      <c r="C190" s="11"/>
      <c r="D190" s="11"/>
      <c r="E190" s="11"/>
      <c r="F190" s="11"/>
      <c r="G190" s="11"/>
      <c r="H190" s="11"/>
      <c r="I190" s="11"/>
      <c r="J190" s="11"/>
      <c r="K190" s="11"/>
      <c r="L190" s="11"/>
      <c r="M190" s="12"/>
    </row>
    <row r="191" ht="22.5" customHeight="1">
      <c r="A191" s="10"/>
      <c r="B191" s="11"/>
      <c r="C191" s="11"/>
      <c r="D191" s="11"/>
      <c r="E191" s="11"/>
      <c r="F191" s="11"/>
      <c r="G191" s="11"/>
      <c r="H191" s="11"/>
      <c r="I191" s="11"/>
      <c r="J191" s="11"/>
      <c r="K191" s="11"/>
      <c r="L191" s="11"/>
      <c r="M191" s="12"/>
    </row>
    <row r="192" ht="22.5" customHeight="1">
      <c r="A192" s="10"/>
      <c r="B192" s="11"/>
      <c r="C192" s="11"/>
      <c r="D192" s="11"/>
      <c r="E192" s="11"/>
      <c r="F192" s="11"/>
      <c r="G192" s="11"/>
      <c r="H192" s="11"/>
      <c r="I192" s="11"/>
      <c r="J192" s="11"/>
      <c r="K192" s="11"/>
      <c r="L192" s="11"/>
      <c r="M192" s="12"/>
    </row>
    <row r="193" ht="22.5" customHeight="1">
      <c r="A193" s="10"/>
      <c r="B193" s="11"/>
      <c r="C193" s="11"/>
      <c r="D193" s="11"/>
      <c r="E193" s="11"/>
      <c r="F193" s="11"/>
      <c r="G193" s="11"/>
      <c r="H193" s="11"/>
      <c r="I193" s="11"/>
      <c r="J193" s="11"/>
      <c r="K193" s="11"/>
      <c r="L193" s="11"/>
      <c r="M193" s="12"/>
    </row>
    <row r="194" ht="22.5" customHeight="1">
      <c r="A194" s="10"/>
      <c r="B194" s="11"/>
      <c r="C194" s="11"/>
      <c r="D194" s="11"/>
      <c r="E194" s="11"/>
      <c r="F194" s="11"/>
      <c r="G194" s="11"/>
      <c r="H194" s="11"/>
      <c r="I194" s="11"/>
      <c r="J194" s="11"/>
      <c r="K194" s="11"/>
      <c r="L194" s="11"/>
      <c r="M194" s="12"/>
    </row>
    <row r="195" ht="22.5" customHeight="1">
      <c r="A195" s="10"/>
      <c r="B195" s="11"/>
      <c r="C195" s="11"/>
      <c r="D195" s="11"/>
      <c r="E195" s="11"/>
      <c r="F195" s="11"/>
      <c r="G195" s="11"/>
      <c r="H195" s="11"/>
      <c r="I195" s="11"/>
      <c r="J195" s="11"/>
      <c r="K195" s="11"/>
      <c r="L195" s="11"/>
      <c r="M195" s="12"/>
    </row>
    <row r="196" ht="22.5" customHeight="1">
      <c r="A196" s="10"/>
      <c r="B196" s="11"/>
      <c r="C196" s="11"/>
      <c r="D196" s="11"/>
      <c r="E196" s="11"/>
      <c r="F196" s="11"/>
      <c r="G196" s="11"/>
      <c r="H196" s="11"/>
      <c r="I196" s="11"/>
      <c r="J196" s="11"/>
      <c r="K196" s="11"/>
      <c r="L196" s="11"/>
      <c r="M196" s="12"/>
    </row>
    <row r="197" ht="22.5" customHeight="1">
      <c r="A197" s="10"/>
      <c r="B197" s="11"/>
      <c r="C197" s="11"/>
      <c r="D197" s="11"/>
      <c r="E197" s="11"/>
      <c r="F197" s="11"/>
      <c r="G197" s="11"/>
      <c r="H197" s="11"/>
      <c r="I197" s="11"/>
      <c r="J197" s="11"/>
      <c r="K197" s="11"/>
      <c r="L197" s="11"/>
      <c r="M197" s="12"/>
    </row>
    <row r="198" ht="22.5" customHeight="1">
      <c r="A198" s="10"/>
      <c r="B198" s="11"/>
      <c r="C198" s="11"/>
      <c r="D198" s="11"/>
      <c r="E198" s="11"/>
      <c r="F198" s="11"/>
      <c r="G198" s="11"/>
      <c r="H198" s="11"/>
      <c r="I198" s="11"/>
      <c r="J198" s="11"/>
      <c r="K198" s="11"/>
      <c r="L198" s="11"/>
      <c r="M198" s="12"/>
    </row>
    <row r="199" ht="22.5" customHeight="1">
      <c r="A199" s="10"/>
      <c r="B199" s="11"/>
      <c r="C199" s="11"/>
      <c r="D199" s="11"/>
      <c r="E199" s="11"/>
      <c r="F199" s="11"/>
      <c r="G199" s="11"/>
      <c r="H199" s="11"/>
      <c r="I199" s="11"/>
      <c r="J199" s="11"/>
      <c r="K199" s="11"/>
      <c r="L199" s="11"/>
      <c r="M199" s="12"/>
    </row>
    <row r="200" ht="22.5" customHeight="1">
      <c r="A200" s="10"/>
      <c r="B200" s="11"/>
      <c r="C200" s="11"/>
      <c r="D200" s="11"/>
      <c r="E200" s="11"/>
      <c r="F200" s="11"/>
      <c r="G200" s="11"/>
      <c r="H200" s="11"/>
      <c r="I200" s="11"/>
      <c r="J200" s="11"/>
      <c r="K200" s="11"/>
      <c r="L200" s="11"/>
      <c r="M200" s="12"/>
    </row>
    <row r="201" ht="22.5" customHeight="1">
      <c r="A201" s="10"/>
      <c r="B201" s="11"/>
      <c r="C201" s="11"/>
      <c r="D201" s="11"/>
      <c r="E201" s="11"/>
      <c r="F201" s="11"/>
      <c r="G201" s="11"/>
      <c r="H201" s="11"/>
      <c r="I201" s="11"/>
      <c r="J201" s="11"/>
      <c r="K201" s="11"/>
      <c r="L201" s="11"/>
      <c r="M201" s="12"/>
    </row>
    <row r="202" ht="22.5" customHeight="1">
      <c r="A202" s="10"/>
      <c r="B202" s="11"/>
      <c r="C202" s="11"/>
      <c r="D202" s="11"/>
      <c r="E202" s="11"/>
      <c r="F202" s="11"/>
      <c r="G202" s="11"/>
      <c r="H202" s="11"/>
      <c r="I202" s="11"/>
      <c r="J202" s="11"/>
      <c r="K202" s="11"/>
      <c r="L202" s="11"/>
      <c r="M202" s="12"/>
    </row>
    <row r="203" ht="22.5" customHeight="1">
      <c r="A203" s="10"/>
      <c r="B203" s="11"/>
      <c r="C203" s="11"/>
      <c r="D203" s="11"/>
      <c r="E203" s="11"/>
      <c r="F203" s="11"/>
      <c r="G203" s="11"/>
      <c r="H203" s="11"/>
      <c r="I203" s="11"/>
      <c r="J203" s="11"/>
      <c r="K203" s="11"/>
      <c r="L203" s="11"/>
      <c r="M203" s="12"/>
    </row>
    <row r="204" ht="22.5" customHeight="1">
      <c r="A204" s="10"/>
      <c r="B204" s="11"/>
      <c r="C204" s="11"/>
      <c r="D204" s="11"/>
      <c r="E204" s="11"/>
      <c r="F204" s="11"/>
      <c r="G204" s="11"/>
      <c r="H204" s="11"/>
      <c r="I204" s="11"/>
      <c r="J204" s="11"/>
      <c r="K204" s="11"/>
      <c r="L204" s="11"/>
      <c r="M204" s="12"/>
    </row>
    <row r="205" ht="22.5" customHeight="1">
      <c r="A205" s="10"/>
      <c r="B205" s="11"/>
      <c r="C205" s="11"/>
      <c r="D205" s="11"/>
      <c r="E205" s="11"/>
      <c r="F205" s="11"/>
      <c r="G205" s="11"/>
      <c r="H205" s="11"/>
      <c r="I205" s="11"/>
      <c r="J205" s="11"/>
      <c r="K205" s="11"/>
      <c r="L205" s="11"/>
      <c r="M205" s="12"/>
    </row>
    <row r="206" ht="22.5" customHeight="1">
      <c r="A206" s="10"/>
      <c r="B206" s="11"/>
      <c r="C206" s="11"/>
      <c r="D206" s="11"/>
      <c r="E206" s="11"/>
      <c r="F206" s="11"/>
      <c r="G206" s="11"/>
      <c r="H206" s="11"/>
      <c r="I206" s="11"/>
      <c r="J206" s="11"/>
      <c r="K206" s="11"/>
      <c r="L206" s="11"/>
      <c r="M206" s="12"/>
    </row>
    <row r="207" ht="22.5" customHeight="1">
      <c r="A207" s="10"/>
      <c r="B207" s="11"/>
      <c r="C207" s="11"/>
      <c r="D207" s="11"/>
      <c r="E207" s="11"/>
      <c r="F207" s="11"/>
      <c r="G207" s="11"/>
      <c r="H207" s="11"/>
      <c r="I207" s="11"/>
      <c r="J207" s="11"/>
      <c r="K207" s="11"/>
      <c r="L207" s="11"/>
      <c r="M207" s="12"/>
    </row>
    <row r="208" ht="22.5" customHeight="1">
      <c r="A208" s="10"/>
      <c r="B208" s="11"/>
      <c r="C208" s="11"/>
      <c r="D208" s="11"/>
      <c r="E208" s="11"/>
      <c r="F208" s="11"/>
      <c r="G208" s="11"/>
      <c r="H208" s="11"/>
      <c r="I208" s="11"/>
      <c r="J208" s="11"/>
      <c r="K208" s="11"/>
      <c r="L208" s="11"/>
      <c r="M208" s="12"/>
    </row>
    <row r="209" ht="22.5" customHeight="1">
      <c r="A209" s="10"/>
      <c r="B209" s="11"/>
      <c r="C209" s="11"/>
      <c r="D209" s="11"/>
      <c r="E209" s="11"/>
      <c r="F209" s="11"/>
      <c r="G209" s="11"/>
      <c r="H209" s="11"/>
      <c r="I209" s="11"/>
      <c r="J209" s="11"/>
      <c r="K209" s="11"/>
      <c r="L209" s="11"/>
      <c r="M209" s="12"/>
    </row>
    <row r="210" ht="22.5" customHeight="1">
      <c r="A210" t="s" s="65">
        <v>137</v>
      </c>
      <c r="B210" s="51">
        <v>2030</v>
      </c>
      <c r="C210" s="51"/>
      <c r="D210" t="s" s="52">
        <v>138</v>
      </c>
      <c r="E210" s="11"/>
      <c r="F210" s="11"/>
      <c r="G210" s="11"/>
      <c r="H210" s="11"/>
      <c r="I210" s="11"/>
      <c r="J210" s="11"/>
      <c r="K210" s="11"/>
      <c r="L210" s="11"/>
      <c r="M210" s="12"/>
    </row>
    <row r="211" ht="22.5" customHeight="1">
      <c r="A211" t="s" s="65">
        <v>139</v>
      </c>
      <c r="B211" s="11"/>
      <c r="C211" s="11"/>
      <c r="D211" s="11"/>
      <c r="E211" s="11"/>
      <c r="F211" s="11"/>
      <c r="G211" s="11"/>
      <c r="H211" s="11"/>
      <c r="I211" s="11"/>
      <c r="J211" s="11"/>
      <c r="K211" s="11"/>
      <c r="L211" s="11"/>
      <c r="M211" s="12"/>
    </row>
    <row r="212" ht="22.5" customHeight="1">
      <c r="A212" s="10"/>
      <c r="B212" s="11"/>
      <c r="C212" s="11"/>
      <c r="D212" s="11"/>
      <c r="E212" s="11"/>
      <c r="F212" s="11"/>
      <c r="G212" s="11"/>
      <c r="H212" s="11"/>
      <c r="I212" t="s" s="94">
        <v>140</v>
      </c>
      <c r="J212" s="11"/>
      <c r="K212" s="11"/>
      <c r="L212" s="11"/>
      <c r="M212" s="12"/>
    </row>
    <row r="213" ht="22.5" customHeight="1">
      <c r="A213" s="10"/>
      <c r="B213" s="11"/>
      <c r="C213" s="11"/>
      <c r="D213" s="11"/>
      <c r="E213" s="11"/>
      <c r="F213" s="11"/>
      <c r="G213" s="11"/>
      <c r="H213" s="11"/>
      <c r="I213" s="11"/>
      <c r="J213" s="11"/>
      <c r="K213" s="11"/>
      <c r="L213" s="11"/>
      <c r="M213" s="12"/>
    </row>
    <row r="214" ht="22.5" customHeight="1">
      <c r="A214" s="10"/>
      <c r="B214" s="11"/>
      <c r="C214" s="11"/>
      <c r="D214" s="11"/>
      <c r="E214" s="11"/>
      <c r="F214" s="11"/>
      <c r="G214" s="11"/>
      <c r="H214" s="11"/>
      <c r="I214" s="11"/>
      <c r="J214" s="11"/>
      <c r="K214" s="11"/>
      <c r="L214" s="11"/>
      <c r="M214" s="12"/>
    </row>
    <row r="215" ht="22.5" customHeight="1">
      <c r="A215" s="10"/>
      <c r="B215" s="11"/>
      <c r="C215" s="11"/>
      <c r="D215" s="11"/>
      <c r="E215" s="11"/>
      <c r="F215" s="11"/>
      <c r="G215" s="11"/>
      <c r="H215" s="11"/>
      <c r="I215" s="11"/>
      <c r="J215" s="11"/>
      <c r="K215" s="11"/>
      <c r="L215" s="11"/>
      <c r="M215" s="12"/>
    </row>
    <row r="216" ht="22.5" customHeight="1">
      <c r="A216" s="10"/>
      <c r="B216" s="11"/>
      <c r="C216" s="11"/>
      <c r="D216" s="11"/>
      <c r="E216" s="11"/>
      <c r="F216" s="11"/>
      <c r="G216" s="11"/>
      <c r="H216" s="11"/>
      <c r="I216" s="11"/>
      <c r="J216" s="11"/>
      <c r="K216" s="11"/>
      <c r="L216" s="11"/>
      <c r="M216" s="12"/>
    </row>
    <row r="217" ht="22.5" customHeight="1">
      <c r="A217" s="10"/>
      <c r="B217" s="11"/>
      <c r="C217" s="11"/>
      <c r="D217" s="11"/>
      <c r="E217" s="11"/>
      <c r="F217" s="11"/>
      <c r="G217" s="11"/>
      <c r="H217" s="11"/>
      <c r="I217" s="11"/>
      <c r="J217" s="11"/>
      <c r="K217" s="11"/>
      <c r="L217" s="11"/>
      <c r="M217" s="12"/>
    </row>
    <row r="218" ht="22.5" customHeight="1">
      <c r="A218" s="10"/>
      <c r="B218" s="11"/>
      <c r="C218" s="11"/>
      <c r="D218" s="11"/>
      <c r="E218" s="11"/>
      <c r="F218" s="11"/>
      <c r="G218" s="11"/>
      <c r="H218" s="11"/>
      <c r="I218" s="11"/>
      <c r="J218" s="11"/>
      <c r="K218" s="11"/>
      <c r="L218" s="11"/>
      <c r="M218" s="12"/>
    </row>
    <row r="219" ht="22.5" customHeight="1">
      <c r="A219" s="10"/>
      <c r="B219" s="11"/>
      <c r="C219" s="11"/>
      <c r="D219" s="11"/>
      <c r="E219" s="11"/>
      <c r="F219" s="11"/>
      <c r="G219" s="11"/>
      <c r="H219" s="11"/>
      <c r="I219" s="11"/>
      <c r="J219" s="11"/>
      <c r="K219" s="11"/>
      <c r="L219" s="11"/>
      <c r="M219" s="12"/>
    </row>
    <row r="220" ht="22.5" customHeight="1">
      <c r="A220" s="10"/>
      <c r="B220" s="11"/>
      <c r="C220" s="11"/>
      <c r="D220" s="11"/>
      <c r="E220" s="11"/>
      <c r="F220" s="11"/>
      <c r="G220" s="11"/>
      <c r="H220" s="11"/>
      <c r="I220" s="11"/>
      <c r="J220" s="11"/>
      <c r="K220" s="11"/>
      <c r="L220" s="11"/>
      <c r="M220" s="12"/>
    </row>
    <row r="221" ht="22.5" customHeight="1">
      <c r="A221" s="10"/>
      <c r="B221" s="11"/>
      <c r="C221" s="11"/>
      <c r="D221" s="11"/>
      <c r="E221" s="11"/>
      <c r="F221" s="11"/>
      <c r="G221" s="11"/>
      <c r="H221" s="11"/>
      <c r="I221" s="11"/>
      <c r="J221" s="11"/>
      <c r="K221" s="11"/>
      <c r="L221" s="11"/>
      <c r="M221" s="12"/>
    </row>
    <row r="222" ht="22.5" customHeight="1">
      <c r="A222" s="10"/>
      <c r="B222" s="11"/>
      <c r="C222" s="11"/>
      <c r="D222" s="11"/>
      <c r="E222" s="11"/>
      <c r="F222" s="11"/>
      <c r="G222" s="11"/>
      <c r="H222" s="11"/>
      <c r="I222" s="11"/>
      <c r="J222" s="11"/>
      <c r="K222" s="11"/>
      <c r="L222" s="11"/>
      <c r="M222" s="12"/>
    </row>
    <row r="223" ht="22.5" customHeight="1">
      <c r="A223" s="10"/>
      <c r="B223" s="11"/>
      <c r="C223" s="11"/>
      <c r="D223" s="11"/>
      <c r="E223" s="11"/>
      <c r="F223" s="11"/>
      <c r="G223" s="11"/>
      <c r="H223" s="11"/>
      <c r="I223" s="11"/>
      <c r="J223" s="11"/>
      <c r="K223" s="11"/>
      <c r="L223" s="11"/>
      <c r="M223" s="12"/>
    </row>
    <row r="224" ht="22.5" customHeight="1">
      <c r="A224" s="10"/>
      <c r="B224" s="11"/>
      <c r="C224" s="11"/>
      <c r="D224" s="11"/>
      <c r="E224" s="11"/>
      <c r="F224" s="11"/>
      <c r="G224" s="11"/>
      <c r="H224" s="11"/>
      <c r="I224" s="11"/>
      <c r="J224" s="11"/>
      <c r="K224" s="11"/>
      <c r="L224" s="11"/>
      <c r="M224" s="12"/>
    </row>
    <row r="225" ht="22.5" customHeight="1">
      <c r="A225" s="10"/>
      <c r="B225" s="11"/>
      <c r="C225" s="11"/>
      <c r="D225" s="11"/>
      <c r="E225" s="11"/>
      <c r="F225" s="11"/>
      <c r="G225" s="11"/>
      <c r="H225" s="11"/>
      <c r="I225" s="11"/>
      <c r="J225" s="11"/>
      <c r="K225" s="11"/>
      <c r="L225" s="11"/>
      <c r="M225" s="12"/>
    </row>
    <row r="226" ht="22.5" customHeight="1">
      <c r="A226" s="10"/>
      <c r="B226" s="11"/>
      <c r="C226" s="11"/>
      <c r="D226" s="11"/>
      <c r="E226" s="11"/>
      <c r="F226" s="11"/>
      <c r="G226" s="11"/>
      <c r="H226" s="11"/>
      <c r="I226" s="11"/>
      <c r="J226" s="11"/>
      <c r="K226" s="11"/>
      <c r="L226" s="11"/>
      <c r="M226" s="12"/>
    </row>
    <row r="227" ht="22.5" customHeight="1">
      <c r="A227" s="10"/>
      <c r="B227" s="11"/>
      <c r="C227" s="11"/>
      <c r="D227" s="11"/>
      <c r="E227" s="11"/>
      <c r="F227" s="11"/>
      <c r="G227" s="11"/>
      <c r="H227" s="11"/>
      <c r="I227" s="11"/>
      <c r="J227" s="11"/>
      <c r="K227" s="11"/>
      <c r="L227" s="11"/>
      <c r="M227" s="12"/>
    </row>
    <row r="228" ht="22.5" customHeight="1">
      <c r="A228" s="10"/>
      <c r="B228" s="11"/>
      <c r="C228" s="11"/>
      <c r="D228" s="11"/>
      <c r="E228" s="11"/>
      <c r="F228" s="11"/>
      <c r="G228" s="11"/>
      <c r="H228" s="11"/>
      <c r="I228" s="11"/>
      <c r="J228" s="11"/>
      <c r="K228" s="11"/>
      <c r="L228" s="11"/>
      <c r="M228" s="12"/>
    </row>
    <row r="229" ht="22.5" customHeight="1">
      <c r="A229" s="10"/>
      <c r="B229" s="11"/>
      <c r="C229" s="11"/>
      <c r="D229" s="11"/>
      <c r="E229" s="11"/>
      <c r="F229" s="11"/>
      <c r="G229" s="11"/>
      <c r="H229" s="11"/>
      <c r="I229" s="11"/>
      <c r="J229" s="11"/>
      <c r="K229" s="11"/>
      <c r="L229" s="11"/>
      <c r="M229" s="12"/>
    </row>
    <row r="230" ht="22.5" customHeight="1">
      <c r="A230" s="10"/>
      <c r="B230" s="11"/>
      <c r="C230" s="11"/>
      <c r="D230" s="11"/>
      <c r="E230" s="11"/>
      <c r="F230" s="11"/>
      <c r="G230" s="11"/>
      <c r="H230" s="11"/>
      <c r="I230" s="11"/>
      <c r="J230" s="11"/>
      <c r="K230" s="11"/>
      <c r="L230" s="11"/>
      <c r="M230" s="12"/>
    </row>
    <row r="231" ht="22.5" customHeight="1">
      <c r="A231" s="10"/>
      <c r="B231" s="11"/>
      <c r="C231" s="11"/>
      <c r="D231" s="11"/>
      <c r="E231" s="11"/>
      <c r="F231" s="11"/>
      <c r="G231" s="11"/>
      <c r="H231" s="11"/>
      <c r="I231" s="11"/>
      <c r="J231" s="11"/>
      <c r="K231" s="11"/>
      <c r="L231" s="11"/>
      <c r="M231" s="12"/>
    </row>
    <row r="232" ht="22.5" customHeight="1">
      <c r="A232" s="10"/>
      <c r="B232" s="11"/>
      <c r="C232" s="11"/>
      <c r="D232" s="11"/>
      <c r="E232" s="11"/>
      <c r="F232" s="11"/>
      <c r="G232" s="11"/>
      <c r="H232" s="11"/>
      <c r="I232" s="11"/>
      <c r="J232" s="11"/>
      <c r="K232" s="11"/>
      <c r="L232" s="11"/>
      <c r="M232" s="12"/>
    </row>
    <row r="233" ht="22.5" customHeight="1">
      <c r="A233" s="10"/>
      <c r="B233" s="11"/>
      <c r="C233" s="11"/>
      <c r="D233" s="11"/>
      <c r="E233" s="11"/>
      <c r="F233" s="11"/>
      <c r="G233" s="11"/>
      <c r="H233" s="11"/>
      <c r="I233" s="11"/>
      <c r="J233" s="11"/>
      <c r="K233" s="11"/>
      <c r="L233" s="11"/>
      <c r="M233" s="12"/>
    </row>
    <row r="234" ht="22.5" customHeight="1">
      <c r="A234" s="10"/>
      <c r="B234" s="11"/>
      <c r="C234" s="11"/>
      <c r="D234" s="11"/>
      <c r="E234" s="11"/>
      <c r="F234" s="11"/>
      <c r="G234" s="11"/>
      <c r="H234" s="11"/>
      <c r="I234" s="11"/>
      <c r="J234" s="11"/>
      <c r="K234" s="11"/>
      <c r="L234" s="11"/>
      <c r="M234" s="12"/>
    </row>
    <row r="235" ht="22.5" customHeight="1">
      <c r="A235" s="10"/>
      <c r="B235" s="11"/>
      <c r="C235" s="11"/>
      <c r="D235" s="11"/>
      <c r="E235" s="11"/>
      <c r="F235" s="11"/>
      <c r="G235" s="11"/>
      <c r="H235" s="11"/>
      <c r="I235" s="11"/>
      <c r="J235" s="11"/>
      <c r="K235" s="11"/>
      <c r="L235" s="11"/>
      <c r="M235" s="12"/>
    </row>
    <row r="236" ht="22.5" customHeight="1">
      <c r="A236" s="10"/>
      <c r="B236" s="11"/>
      <c r="C236" s="11"/>
      <c r="D236" s="11"/>
      <c r="E236" s="11"/>
      <c r="F236" s="11"/>
      <c r="G236" s="11"/>
      <c r="H236" s="11"/>
      <c r="I236" s="11"/>
      <c r="J236" s="11"/>
      <c r="K236" s="11"/>
      <c r="L236" s="11"/>
      <c r="M236" s="12"/>
    </row>
    <row r="237" ht="22.5" customHeight="1">
      <c r="A237" s="10"/>
      <c r="B237" s="11"/>
      <c r="C237" s="11"/>
      <c r="D237" s="11"/>
      <c r="E237" s="11"/>
      <c r="F237" s="11"/>
      <c r="G237" s="11"/>
      <c r="H237" s="11"/>
      <c r="I237" s="11"/>
      <c r="J237" s="11"/>
      <c r="K237" s="11"/>
      <c r="L237" s="11"/>
      <c r="M237" s="12"/>
    </row>
    <row r="238" ht="22.5" customHeight="1">
      <c r="A238" s="10"/>
      <c r="B238" s="11"/>
      <c r="C238" s="11"/>
      <c r="D238" s="11"/>
      <c r="E238" s="11"/>
      <c r="F238" s="11"/>
      <c r="G238" s="11"/>
      <c r="H238" s="11"/>
      <c r="I238" s="11"/>
      <c r="J238" s="11"/>
      <c r="K238" s="11"/>
      <c r="L238" s="11"/>
      <c r="M238" s="12"/>
    </row>
    <row r="239" ht="22.5" customHeight="1">
      <c r="A239" s="10"/>
      <c r="B239" s="11"/>
      <c r="C239" s="11"/>
      <c r="D239" s="11"/>
      <c r="E239" s="11"/>
      <c r="F239" s="11"/>
      <c r="G239" s="11"/>
      <c r="H239" s="11"/>
      <c r="I239" s="11"/>
      <c r="J239" s="11"/>
      <c r="K239" s="11"/>
      <c r="L239" s="11"/>
      <c r="M239" s="12"/>
    </row>
    <row r="240" ht="22.5" customHeight="1">
      <c r="A240" s="10"/>
      <c r="B240" s="11"/>
      <c r="C240" s="11"/>
      <c r="D240" s="11"/>
      <c r="E240" s="11"/>
      <c r="F240" s="11"/>
      <c r="G240" s="11"/>
      <c r="H240" s="11"/>
      <c r="I240" s="11"/>
      <c r="J240" s="11"/>
      <c r="K240" s="11"/>
      <c r="L240" s="11"/>
      <c r="M240" s="12"/>
    </row>
    <row r="241" ht="22.5" customHeight="1">
      <c r="A241" s="10"/>
      <c r="B241" s="11"/>
      <c r="C241" s="11"/>
      <c r="D241" s="11"/>
      <c r="E241" s="11"/>
      <c r="F241" s="11"/>
      <c r="G241" s="11"/>
      <c r="H241" s="11"/>
      <c r="I241" s="11"/>
      <c r="J241" s="11"/>
      <c r="K241" s="11"/>
      <c r="L241" s="11"/>
      <c r="M241" s="12"/>
    </row>
    <row r="242" ht="22.5" customHeight="1">
      <c r="A242" s="10"/>
      <c r="B242" s="11"/>
      <c r="C242" s="11"/>
      <c r="D242" s="11"/>
      <c r="E242" s="11"/>
      <c r="F242" s="11"/>
      <c r="G242" s="11"/>
      <c r="H242" s="11"/>
      <c r="I242" s="11"/>
      <c r="J242" s="11"/>
      <c r="K242" s="11"/>
      <c r="L242" s="11"/>
      <c r="M242" s="12"/>
    </row>
    <row r="243" ht="22.5" customHeight="1">
      <c r="A243" s="10"/>
      <c r="B243" s="11"/>
      <c r="C243" s="11"/>
      <c r="D243" s="11"/>
      <c r="E243" s="11"/>
      <c r="F243" s="11"/>
      <c r="G243" s="11"/>
      <c r="H243" s="11"/>
      <c r="I243" s="11"/>
      <c r="J243" s="11"/>
      <c r="K243" s="11"/>
      <c r="L243" s="11"/>
      <c r="M243" s="12"/>
    </row>
    <row r="244" ht="22.5" customHeight="1">
      <c r="A244" s="10"/>
      <c r="B244" s="11"/>
      <c r="C244" s="11"/>
      <c r="D244" s="11"/>
      <c r="E244" s="11"/>
      <c r="F244" s="11"/>
      <c r="G244" s="11"/>
      <c r="H244" s="11"/>
      <c r="I244" s="11"/>
      <c r="J244" s="11"/>
      <c r="K244" s="11"/>
      <c r="L244" s="11"/>
      <c r="M244" s="12"/>
    </row>
    <row r="245" ht="22.5" customHeight="1">
      <c r="A245" t="s" s="65">
        <v>137</v>
      </c>
      <c r="B245" s="51">
        <v>2040</v>
      </c>
      <c r="C245" s="51"/>
      <c r="D245" t="s" s="52">
        <v>138</v>
      </c>
      <c r="E245" s="11"/>
      <c r="F245" s="11"/>
      <c r="G245" s="11"/>
      <c r="H245" s="11"/>
      <c r="I245" s="11"/>
      <c r="J245" s="11"/>
      <c r="K245" s="11"/>
      <c r="L245" s="11"/>
      <c r="M245" s="12"/>
    </row>
    <row r="246" ht="22.5" customHeight="1">
      <c r="A246" t="s" s="65">
        <v>139</v>
      </c>
      <c r="B246" s="11"/>
      <c r="C246" s="11"/>
      <c r="D246" s="11"/>
      <c r="E246" s="11"/>
      <c r="F246" s="11"/>
      <c r="G246" s="11"/>
      <c r="H246" s="11"/>
      <c r="I246" s="11"/>
      <c r="J246" s="11"/>
      <c r="K246" s="11"/>
      <c r="L246" s="11"/>
      <c r="M246" s="12"/>
    </row>
    <row r="247" ht="22.5" customHeight="1">
      <c r="A247" s="10"/>
      <c r="B247" s="11"/>
      <c r="C247" s="11"/>
      <c r="D247" s="11"/>
      <c r="E247" s="11"/>
      <c r="F247" s="11"/>
      <c r="G247" s="11"/>
      <c r="H247" s="11"/>
      <c r="I247" t="s" s="94">
        <v>140</v>
      </c>
      <c r="J247" s="11"/>
      <c r="K247" s="11"/>
      <c r="L247" s="11"/>
      <c r="M247" s="12"/>
    </row>
    <row r="248" ht="22.5" customHeight="1">
      <c r="A248" s="10"/>
      <c r="B248" s="11"/>
      <c r="C248" s="11"/>
      <c r="D248" s="11"/>
      <c r="E248" s="11"/>
      <c r="F248" s="11"/>
      <c r="G248" s="11"/>
      <c r="H248" s="11"/>
      <c r="I248" s="11"/>
      <c r="J248" s="11"/>
      <c r="K248" s="11"/>
      <c r="L248" s="11"/>
      <c r="M248" s="12"/>
    </row>
    <row r="249" ht="22.5" customHeight="1">
      <c r="A249" s="10"/>
      <c r="B249" s="11"/>
      <c r="C249" s="11"/>
      <c r="D249" s="11"/>
      <c r="E249" s="11"/>
      <c r="F249" s="11"/>
      <c r="G249" s="11"/>
      <c r="H249" s="11"/>
      <c r="I249" s="11"/>
      <c r="J249" s="11"/>
      <c r="K249" s="11"/>
      <c r="L249" s="11"/>
      <c r="M249" s="12"/>
    </row>
    <row r="250" ht="22.5" customHeight="1">
      <c r="A250" s="10"/>
      <c r="B250" s="11"/>
      <c r="C250" s="11"/>
      <c r="D250" s="11"/>
      <c r="E250" s="11"/>
      <c r="F250" s="11"/>
      <c r="G250" s="11"/>
      <c r="H250" s="11"/>
      <c r="I250" s="11"/>
      <c r="J250" s="11"/>
      <c r="K250" s="11"/>
      <c r="L250" s="11"/>
      <c r="M250" s="12"/>
    </row>
    <row r="251" ht="22.5" customHeight="1">
      <c r="A251" s="10"/>
      <c r="B251" s="11"/>
      <c r="C251" s="11"/>
      <c r="D251" s="11"/>
      <c r="E251" s="11"/>
      <c r="F251" s="11"/>
      <c r="G251" s="11"/>
      <c r="H251" s="11"/>
      <c r="I251" s="11"/>
      <c r="J251" s="11"/>
      <c r="K251" s="11"/>
      <c r="L251" s="11"/>
      <c r="M251" s="12"/>
    </row>
    <row r="252" ht="22.5" customHeight="1">
      <c r="A252" s="10"/>
      <c r="B252" s="11"/>
      <c r="C252" s="11"/>
      <c r="D252" s="11"/>
      <c r="E252" s="11"/>
      <c r="F252" s="11"/>
      <c r="G252" s="11"/>
      <c r="H252" s="11"/>
      <c r="I252" s="11"/>
      <c r="J252" s="11"/>
      <c r="K252" s="11"/>
      <c r="L252" s="11"/>
      <c r="M252" s="12"/>
    </row>
    <row r="253" ht="22.5" customHeight="1">
      <c r="A253" s="10"/>
      <c r="B253" s="11"/>
      <c r="C253" s="11"/>
      <c r="D253" s="11"/>
      <c r="E253" s="11"/>
      <c r="F253" s="11"/>
      <c r="G253" s="11"/>
      <c r="H253" s="11"/>
      <c r="I253" s="11"/>
      <c r="J253" s="11"/>
      <c r="K253" s="11"/>
      <c r="L253" s="11"/>
      <c r="M253" s="12"/>
    </row>
    <row r="254" ht="22.5" customHeight="1">
      <c r="A254" s="10"/>
      <c r="B254" s="11"/>
      <c r="C254" s="11"/>
      <c r="D254" s="11"/>
      <c r="E254" s="11"/>
      <c r="F254" s="11"/>
      <c r="G254" s="11"/>
      <c r="H254" s="11"/>
      <c r="I254" s="11"/>
      <c r="J254" s="11"/>
      <c r="K254" s="11"/>
      <c r="L254" s="11"/>
      <c r="M254" s="12"/>
    </row>
    <row r="255" ht="22.5" customHeight="1">
      <c r="A255" s="10"/>
      <c r="B255" s="11"/>
      <c r="C255" s="11"/>
      <c r="D255" s="11"/>
      <c r="E255" s="11"/>
      <c r="F255" s="11"/>
      <c r="G255" s="11"/>
      <c r="H255" s="11"/>
      <c r="I255" s="11"/>
      <c r="J255" s="11"/>
      <c r="K255" s="11"/>
      <c r="L255" s="11"/>
      <c r="M255" s="12"/>
    </row>
    <row r="256" ht="22.5" customHeight="1">
      <c r="A256" s="10"/>
      <c r="B256" s="11"/>
      <c r="C256" s="11"/>
      <c r="D256" s="11"/>
      <c r="E256" s="11"/>
      <c r="F256" s="11"/>
      <c r="G256" s="11"/>
      <c r="H256" s="11"/>
      <c r="I256" s="11"/>
      <c r="J256" s="11"/>
      <c r="K256" s="11"/>
      <c r="L256" s="11"/>
      <c r="M256" s="12"/>
    </row>
    <row r="257" ht="22.5" customHeight="1">
      <c r="A257" s="10"/>
      <c r="B257" s="11"/>
      <c r="C257" s="11"/>
      <c r="D257" s="11"/>
      <c r="E257" s="11"/>
      <c r="F257" s="11"/>
      <c r="G257" s="11"/>
      <c r="H257" s="11"/>
      <c r="I257" s="11"/>
      <c r="J257" s="11"/>
      <c r="K257" s="11"/>
      <c r="L257" s="11"/>
      <c r="M257" s="12"/>
    </row>
    <row r="258" ht="22.5" customHeight="1">
      <c r="A258" s="10"/>
      <c r="B258" s="11"/>
      <c r="C258" s="11"/>
      <c r="D258" s="11"/>
      <c r="E258" s="11"/>
      <c r="F258" s="11"/>
      <c r="G258" s="11"/>
      <c r="H258" s="11"/>
      <c r="I258" s="11"/>
      <c r="J258" s="11"/>
      <c r="K258" s="11"/>
      <c r="L258" s="11"/>
      <c r="M258" s="12"/>
    </row>
    <row r="259" ht="22.5" customHeight="1">
      <c r="A259" s="10"/>
      <c r="B259" s="11"/>
      <c r="C259" s="11"/>
      <c r="D259" s="11"/>
      <c r="E259" s="11"/>
      <c r="F259" s="11"/>
      <c r="G259" s="11"/>
      <c r="H259" s="11"/>
      <c r="I259" s="11"/>
      <c r="J259" s="11"/>
      <c r="K259" s="11"/>
      <c r="L259" s="11"/>
      <c r="M259" s="12"/>
    </row>
    <row r="260" ht="22.5" customHeight="1">
      <c r="A260" s="10"/>
      <c r="B260" s="11"/>
      <c r="C260" s="11"/>
      <c r="D260" s="11"/>
      <c r="E260" s="11"/>
      <c r="F260" s="11"/>
      <c r="G260" s="11"/>
      <c r="H260" s="11"/>
      <c r="I260" s="11"/>
      <c r="J260" s="11"/>
      <c r="K260" s="11"/>
      <c r="L260" s="11"/>
      <c r="M260" s="12"/>
    </row>
    <row r="261" ht="22.5" customHeight="1">
      <c r="A261" s="10"/>
      <c r="B261" s="11"/>
      <c r="C261" s="11"/>
      <c r="D261" s="11"/>
      <c r="E261" s="11"/>
      <c r="F261" s="11"/>
      <c r="G261" s="11"/>
      <c r="H261" s="11"/>
      <c r="I261" s="11"/>
      <c r="J261" s="11"/>
      <c r="K261" s="11"/>
      <c r="L261" s="11"/>
      <c r="M261" s="12"/>
    </row>
    <row r="262" ht="22.5" customHeight="1">
      <c r="A262" s="10"/>
      <c r="B262" s="11"/>
      <c r="C262" s="11"/>
      <c r="D262" s="11"/>
      <c r="E262" s="11"/>
      <c r="F262" s="11"/>
      <c r="G262" s="11"/>
      <c r="H262" s="11"/>
      <c r="I262" s="11"/>
      <c r="J262" s="11"/>
      <c r="K262" s="11"/>
      <c r="L262" s="11"/>
      <c r="M262" s="12"/>
    </row>
    <row r="263" ht="22.5" customHeight="1">
      <c r="A263" s="10"/>
      <c r="B263" s="11"/>
      <c r="C263" s="11"/>
      <c r="D263" s="11"/>
      <c r="E263" s="11"/>
      <c r="F263" s="11"/>
      <c r="G263" s="11"/>
      <c r="H263" s="11"/>
      <c r="I263" s="11"/>
      <c r="J263" s="11"/>
      <c r="K263" s="11"/>
      <c r="L263" s="11"/>
      <c r="M263" s="12"/>
    </row>
    <row r="264" ht="22.5" customHeight="1">
      <c r="A264" s="10"/>
      <c r="B264" s="11"/>
      <c r="C264" s="11"/>
      <c r="D264" s="11"/>
      <c r="E264" s="11"/>
      <c r="F264" s="11"/>
      <c r="G264" s="11"/>
      <c r="H264" s="11"/>
      <c r="I264" s="11"/>
      <c r="J264" s="11"/>
      <c r="K264" s="11"/>
      <c r="L264" s="11"/>
      <c r="M264" s="12"/>
    </row>
    <row r="265" ht="22.5" customHeight="1">
      <c r="A265" s="10"/>
      <c r="B265" s="11"/>
      <c r="C265" s="11"/>
      <c r="D265" s="11"/>
      <c r="E265" s="11"/>
      <c r="F265" s="11"/>
      <c r="G265" s="11"/>
      <c r="H265" s="11"/>
      <c r="I265" s="11"/>
      <c r="J265" s="11"/>
      <c r="K265" s="11"/>
      <c r="L265" s="11"/>
      <c r="M265" s="12"/>
    </row>
    <row r="266" ht="22.5" customHeight="1">
      <c r="A266" s="10"/>
      <c r="B266" s="11"/>
      <c r="C266" s="11"/>
      <c r="D266" s="11"/>
      <c r="E266" s="11"/>
      <c r="F266" s="11"/>
      <c r="G266" s="11"/>
      <c r="H266" s="11"/>
      <c r="I266" s="11"/>
      <c r="J266" s="11"/>
      <c r="K266" s="11"/>
      <c r="L266" s="11"/>
      <c r="M266" s="12"/>
    </row>
    <row r="267" ht="22.5" customHeight="1">
      <c r="A267" s="10"/>
      <c r="B267" s="11"/>
      <c r="C267" s="11"/>
      <c r="D267" s="11"/>
      <c r="E267" s="11"/>
      <c r="F267" s="11"/>
      <c r="G267" s="11"/>
      <c r="H267" s="11"/>
      <c r="I267" s="11"/>
      <c r="J267" s="11"/>
      <c r="K267" s="11"/>
      <c r="L267" s="11"/>
      <c r="M267" s="12"/>
    </row>
    <row r="268" ht="22.5" customHeight="1">
      <c r="A268" s="10"/>
      <c r="B268" s="11"/>
      <c r="C268" s="11"/>
      <c r="D268" s="11"/>
      <c r="E268" s="11"/>
      <c r="F268" s="11"/>
      <c r="G268" s="11"/>
      <c r="H268" s="11"/>
      <c r="I268" s="11"/>
      <c r="J268" s="11"/>
      <c r="K268" s="11"/>
      <c r="L268" s="11"/>
      <c r="M268" s="12"/>
    </row>
    <row r="269" ht="22.5" customHeight="1">
      <c r="A269" s="10"/>
      <c r="B269" s="11"/>
      <c r="C269" s="11"/>
      <c r="D269" s="11"/>
      <c r="E269" s="11"/>
      <c r="F269" s="11"/>
      <c r="G269" s="11"/>
      <c r="H269" s="11"/>
      <c r="I269" s="11"/>
      <c r="J269" s="11"/>
      <c r="K269" s="11"/>
      <c r="L269" s="11"/>
      <c r="M269" s="12"/>
    </row>
    <row r="270" ht="22.5" customHeight="1">
      <c r="A270" s="10"/>
      <c r="B270" s="11"/>
      <c r="C270" s="11"/>
      <c r="D270" s="11"/>
      <c r="E270" s="11"/>
      <c r="F270" s="11"/>
      <c r="G270" s="11"/>
      <c r="H270" s="11"/>
      <c r="I270" s="11"/>
      <c r="J270" s="11"/>
      <c r="K270" s="11"/>
      <c r="L270" s="11"/>
      <c r="M270" s="12"/>
    </row>
    <row r="271" ht="22.5" customHeight="1">
      <c r="A271" s="10"/>
      <c r="B271" s="11"/>
      <c r="C271" s="11"/>
      <c r="D271" s="11"/>
      <c r="E271" s="11"/>
      <c r="F271" s="11"/>
      <c r="G271" s="11"/>
      <c r="H271" s="11"/>
      <c r="I271" s="11"/>
      <c r="J271" s="11"/>
      <c r="K271" s="11"/>
      <c r="L271" s="11"/>
      <c r="M271" s="12"/>
    </row>
    <row r="272" ht="22.5" customHeight="1">
      <c r="A272" s="10"/>
      <c r="B272" s="11"/>
      <c r="C272" s="11"/>
      <c r="D272" s="11"/>
      <c r="E272" s="11"/>
      <c r="F272" s="11"/>
      <c r="G272" s="11"/>
      <c r="H272" s="11"/>
      <c r="I272" s="11"/>
      <c r="J272" s="11"/>
      <c r="K272" s="11"/>
      <c r="L272" s="11"/>
      <c r="M272" s="12"/>
    </row>
    <row r="273" ht="22.5" customHeight="1">
      <c r="A273" s="10"/>
      <c r="B273" s="11"/>
      <c r="C273" s="11"/>
      <c r="D273" s="11"/>
      <c r="E273" s="11"/>
      <c r="F273" s="11"/>
      <c r="G273" s="11"/>
      <c r="H273" s="11"/>
      <c r="I273" s="11"/>
      <c r="J273" s="11"/>
      <c r="K273" s="11"/>
      <c r="L273" s="11"/>
      <c r="M273" s="12"/>
    </row>
    <row r="274" ht="22.5" customHeight="1">
      <c r="A274" s="10"/>
      <c r="B274" s="11"/>
      <c r="C274" s="11"/>
      <c r="D274" s="11"/>
      <c r="E274" s="11"/>
      <c r="F274" s="11"/>
      <c r="G274" s="11"/>
      <c r="H274" s="11"/>
      <c r="I274" s="11"/>
      <c r="J274" s="11"/>
      <c r="K274" s="11"/>
      <c r="L274" s="11"/>
      <c r="M274" s="12"/>
    </row>
    <row r="275" ht="22.5" customHeight="1">
      <c r="A275" s="10"/>
      <c r="B275" s="11"/>
      <c r="C275" s="11"/>
      <c r="D275" s="11"/>
      <c r="E275" s="11"/>
      <c r="F275" s="11"/>
      <c r="G275" s="11"/>
      <c r="H275" s="11"/>
      <c r="I275" s="11"/>
      <c r="J275" s="11"/>
      <c r="K275" s="11"/>
      <c r="L275" s="11"/>
      <c r="M275" s="12"/>
    </row>
    <row r="276" ht="22.5" customHeight="1">
      <c r="A276" s="10"/>
      <c r="B276" s="11"/>
      <c r="C276" s="11"/>
      <c r="D276" s="11"/>
      <c r="E276" s="11"/>
      <c r="F276" s="11"/>
      <c r="G276" s="11"/>
      <c r="H276" s="11"/>
      <c r="I276" s="11"/>
      <c r="J276" s="11"/>
      <c r="K276" s="11"/>
      <c r="L276" s="11"/>
      <c r="M276" s="12"/>
    </row>
    <row r="277" ht="22.5" customHeight="1">
      <c r="A277" s="10"/>
      <c r="B277" s="11"/>
      <c r="C277" s="11"/>
      <c r="D277" s="11"/>
      <c r="E277" s="11"/>
      <c r="F277" s="11"/>
      <c r="G277" s="11"/>
      <c r="H277" s="11"/>
      <c r="I277" s="11"/>
      <c r="J277" s="11"/>
      <c r="K277" s="11"/>
      <c r="L277" s="11"/>
      <c r="M277" s="12"/>
    </row>
    <row r="278" ht="22.5" customHeight="1">
      <c r="A278" s="10"/>
      <c r="B278" s="11"/>
      <c r="C278" s="11"/>
      <c r="D278" s="11"/>
      <c r="E278" s="11"/>
      <c r="F278" s="11"/>
      <c r="G278" s="11"/>
      <c r="H278" s="11"/>
      <c r="I278" s="11"/>
      <c r="J278" s="11"/>
      <c r="K278" s="11"/>
      <c r="L278" s="11"/>
      <c r="M278" s="12"/>
    </row>
    <row r="279" ht="22.5" customHeight="1">
      <c r="A279" s="28"/>
      <c r="B279" s="29"/>
      <c r="C279" s="29"/>
      <c r="D279" s="29"/>
      <c r="E279" s="29"/>
      <c r="F279" s="29"/>
      <c r="G279" s="29"/>
      <c r="H279" s="29"/>
      <c r="I279" s="29"/>
      <c r="J279" s="11"/>
      <c r="K279" s="11"/>
      <c r="L279" s="11"/>
      <c r="M279" s="12"/>
    </row>
    <row r="280" ht="22.5" customHeight="1">
      <c r="A280" t="s" s="98">
        <v>141</v>
      </c>
      <c r="B280" s="58"/>
      <c r="C280" s="58"/>
      <c r="D280" s="58"/>
      <c r="E280" s="58"/>
      <c r="F280" s="58"/>
      <c r="G280" s="58"/>
      <c r="H280" s="58"/>
      <c r="I280" s="59"/>
      <c r="J280" s="60"/>
      <c r="K280" s="11"/>
      <c r="L280" s="11"/>
      <c r="M280" s="12"/>
    </row>
    <row r="281" ht="22.5" customHeight="1">
      <c r="A281" t="s" s="99">
        <v>142</v>
      </c>
      <c r="B281" s="11"/>
      <c r="C281" s="11"/>
      <c r="D281" s="11"/>
      <c r="E281" s="11"/>
      <c r="F281" s="11"/>
      <c r="G281" s="11"/>
      <c r="H281" s="11"/>
      <c r="I281" s="61"/>
      <c r="J281" s="60"/>
      <c r="K281" s="11"/>
      <c r="L281" s="11"/>
      <c r="M281" s="12"/>
    </row>
    <row r="282" ht="22.5" customHeight="1">
      <c r="A282" t="s" s="201">
        <v>143</v>
      </c>
      <c r="B282" s="36"/>
      <c r="C282" s="11"/>
      <c r="D282" s="11"/>
      <c r="E282" s="11"/>
      <c r="F282" s="11"/>
      <c r="G282" s="11"/>
      <c r="H282" s="11"/>
      <c r="I282" s="61"/>
      <c r="J282" s="60"/>
      <c r="K282" s="11"/>
      <c r="L282" s="11"/>
      <c r="M282" s="12"/>
    </row>
    <row r="283" ht="22.5" customHeight="1">
      <c r="A283" s="60"/>
      <c r="B283" s="36"/>
      <c r="C283" s="11"/>
      <c r="D283" s="11"/>
      <c r="E283" s="11"/>
      <c r="F283" s="11"/>
      <c r="G283" s="11"/>
      <c r="H283" s="11"/>
      <c r="I283" s="61"/>
      <c r="J283" s="60"/>
      <c r="K283" s="11"/>
      <c r="L283" s="11"/>
      <c r="M283" s="12"/>
    </row>
    <row r="284" ht="22.5" customHeight="1">
      <c r="A284" s="60"/>
      <c r="B284" s="36"/>
      <c r="C284" s="11"/>
      <c r="D284" s="11"/>
      <c r="E284" s="11"/>
      <c r="F284" s="11"/>
      <c r="G284" s="11"/>
      <c r="H284" s="11"/>
      <c r="I284" s="61"/>
      <c r="J284" s="60"/>
      <c r="K284" s="11"/>
      <c r="L284" s="11"/>
      <c r="M284" s="12"/>
    </row>
    <row r="285" ht="22.5" customHeight="1">
      <c r="A285" s="60"/>
      <c r="B285" s="36"/>
      <c r="C285" s="11"/>
      <c r="D285" s="11"/>
      <c r="E285" s="11"/>
      <c r="F285" s="11"/>
      <c r="G285" s="11"/>
      <c r="H285" s="11"/>
      <c r="I285" s="61"/>
      <c r="J285" s="60"/>
      <c r="K285" s="11"/>
      <c r="L285" s="11"/>
      <c r="M285" s="12"/>
    </row>
    <row r="286" ht="22.5" customHeight="1">
      <c r="A286" s="60"/>
      <c r="B286" s="36"/>
      <c r="C286" s="11"/>
      <c r="D286" s="11"/>
      <c r="E286" s="11"/>
      <c r="F286" s="11"/>
      <c r="G286" s="11"/>
      <c r="H286" s="11"/>
      <c r="I286" s="61"/>
      <c r="J286" s="60"/>
      <c r="K286" s="11"/>
      <c r="L286" s="11"/>
      <c r="M286" s="12"/>
    </row>
    <row r="287" ht="22.5" customHeight="1">
      <c r="A287" s="60"/>
      <c r="B287" s="36"/>
      <c r="C287" s="11"/>
      <c r="D287" s="11"/>
      <c r="E287" s="11"/>
      <c r="F287" s="11"/>
      <c r="G287" s="11"/>
      <c r="H287" s="11"/>
      <c r="I287" s="61"/>
      <c r="J287" s="60"/>
      <c r="K287" s="11"/>
      <c r="L287" s="11"/>
      <c r="M287" s="12"/>
    </row>
    <row r="288" ht="22.5" customHeight="1">
      <c r="A288" s="60"/>
      <c r="B288" s="36"/>
      <c r="C288" s="11"/>
      <c r="D288" s="11"/>
      <c r="E288" s="11"/>
      <c r="F288" s="11"/>
      <c r="G288" s="11"/>
      <c r="H288" s="11"/>
      <c r="I288" s="61"/>
      <c r="J288" s="60"/>
      <c r="K288" s="11"/>
      <c r="L288" s="11"/>
      <c r="M288" s="12"/>
    </row>
    <row r="289" ht="22.5" customHeight="1">
      <c r="A289" s="60"/>
      <c r="B289" s="11"/>
      <c r="C289" s="11"/>
      <c r="D289" s="11"/>
      <c r="E289" s="11"/>
      <c r="F289" s="11"/>
      <c r="G289" s="11"/>
      <c r="H289" s="11"/>
      <c r="I289" s="61"/>
      <c r="J289" s="60"/>
      <c r="K289" s="11"/>
      <c r="L289" s="11"/>
      <c r="M289" s="12"/>
    </row>
    <row r="290" ht="22.5" customHeight="1">
      <c r="A290" s="60"/>
      <c r="B290" s="11"/>
      <c r="C290" s="11"/>
      <c r="D290" s="11"/>
      <c r="E290" s="11"/>
      <c r="F290" s="11"/>
      <c r="G290" s="11"/>
      <c r="H290" s="11"/>
      <c r="I290" s="61"/>
      <c r="J290" s="60"/>
      <c r="K290" s="11"/>
      <c r="L290" s="11"/>
      <c r="M290" s="12"/>
    </row>
    <row r="291" ht="22.5" customHeight="1">
      <c r="A291" s="60"/>
      <c r="B291" s="11"/>
      <c r="C291" s="11"/>
      <c r="D291" s="11"/>
      <c r="E291" s="11"/>
      <c r="F291" s="11"/>
      <c r="G291" s="11"/>
      <c r="H291" s="11"/>
      <c r="I291" s="61"/>
      <c r="J291" s="60"/>
      <c r="K291" s="11"/>
      <c r="L291" s="11"/>
      <c r="M291" s="12"/>
    </row>
    <row r="292" ht="22.5" customHeight="1">
      <c r="A292" t="s" s="99">
        <v>144</v>
      </c>
      <c r="B292" s="11"/>
      <c r="C292" s="11"/>
      <c r="D292" s="11"/>
      <c r="E292" s="11"/>
      <c r="F292" s="11"/>
      <c r="G292" s="11"/>
      <c r="H292" s="11"/>
      <c r="I292" s="61"/>
      <c r="J292" s="60"/>
      <c r="K292" s="11"/>
      <c r="L292" s="11"/>
      <c r="M292" s="12"/>
    </row>
    <row r="293" ht="22.5" customHeight="1">
      <c r="A293" t="s" s="100">
        <v>81</v>
      </c>
      <c r="B293" t="s" s="35">
        <v>145</v>
      </c>
      <c r="C293" s="11"/>
      <c r="D293" s="11"/>
      <c r="E293" s="11"/>
      <c r="F293" s="11"/>
      <c r="G293" s="11"/>
      <c r="H293" s="11"/>
      <c r="I293" s="61"/>
      <c r="J293" s="60"/>
      <c r="K293" s="11"/>
      <c r="L293" s="11"/>
      <c r="M293" s="12"/>
    </row>
    <row r="294" ht="22.5" customHeight="1">
      <c r="A294" s="60"/>
      <c r="B294" t="s" s="35">
        <v>146</v>
      </c>
      <c r="C294" s="11"/>
      <c r="D294" s="11"/>
      <c r="E294" s="11"/>
      <c r="F294" s="11"/>
      <c r="G294" s="11"/>
      <c r="H294" s="11"/>
      <c r="I294" s="61"/>
      <c r="J294" s="60"/>
      <c r="K294" s="11"/>
      <c r="L294" s="11"/>
      <c r="M294" s="12"/>
    </row>
    <row r="295" ht="22.5" customHeight="1">
      <c r="A295" s="60"/>
      <c r="B295" t="s" s="35">
        <v>147</v>
      </c>
      <c r="C295" s="11"/>
      <c r="D295" s="11"/>
      <c r="E295" s="11"/>
      <c r="F295" s="11"/>
      <c r="G295" s="11"/>
      <c r="H295" s="11"/>
      <c r="I295" s="61"/>
      <c r="J295" s="60"/>
      <c r="K295" s="11"/>
      <c r="L295" s="11"/>
      <c r="M295" s="12"/>
    </row>
    <row r="296" ht="22.5" customHeight="1">
      <c r="A296" s="60"/>
      <c r="B296" s="36"/>
      <c r="C296" s="11"/>
      <c r="D296" s="11"/>
      <c r="E296" s="11"/>
      <c r="F296" s="11"/>
      <c r="G296" s="11"/>
      <c r="H296" s="11"/>
      <c r="I296" s="61"/>
      <c r="J296" s="60"/>
      <c r="K296" s="11"/>
      <c r="L296" s="11"/>
      <c r="M296" s="12"/>
    </row>
    <row r="297" ht="22.5" customHeight="1">
      <c r="A297" s="60"/>
      <c r="B297" s="36"/>
      <c r="C297" s="11"/>
      <c r="D297" s="11"/>
      <c r="E297" s="11"/>
      <c r="F297" s="11"/>
      <c r="G297" s="11"/>
      <c r="H297" s="11"/>
      <c r="I297" s="61"/>
      <c r="J297" s="60"/>
      <c r="K297" s="11"/>
      <c r="L297" s="11"/>
      <c r="M297" s="12"/>
    </row>
    <row r="298" ht="22.5" customHeight="1">
      <c r="A298" s="60"/>
      <c r="B298" s="11"/>
      <c r="C298" s="11"/>
      <c r="D298" s="11"/>
      <c r="E298" s="11"/>
      <c r="F298" s="11"/>
      <c r="G298" s="11"/>
      <c r="H298" s="11"/>
      <c r="I298" s="61"/>
      <c r="J298" s="60"/>
      <c r="K298" s="11"/>
      <c r="L298" s="11"/>
      <c r="M298" s="12"/>
    </row>
    <row r="299" ht="22.5" customHeight="1">
      <c r="A299" s="60"/>
      <c r="B299" s="11"/>
      <c r="C299" s="11"/>
      <c r="D299" s="11"/>
      <c r="E299" s="11"/>
      <c r="F299" s="11"/>
      <c r="G299" s="11"/>
      <c r="H299" s="11"/>
      <c r="I299" s="61"/>
      <c r="J299" s="60"/>
      <c r="K299" s="11"/>
      <c r="L299" s="11"/>
      <c r="M299" s="12"/>
    </row>
    <row r="300" ht="22.5" customHeight="1">
      <c r="A300" s="60"/>
      <c r="B300" s="11"/>
      <c r="C300" s="11"/>
      <c r="D300" s="11"/>
      <c r="E300" s="11"/>
      <c r="F300" s="11"/>
      <c r="G300" s="11"/>
      <c r="H300" s="11"/>
      <c r="I300" s="61"/>
      <c r="J300" s="60"/>
      <c r="K300" s="11"/>
      <c r="L300" s="11"/>
      <c r="M300" s="12"/>
    </row>
    <row r="301" ht="22.5" customHeight="1">
      <c r="A301" s="60"/>
      <c r="B301" s="11"/>
      <c r="C301" s="11"/>
      <c r="D301" s="11"/>
      <c r="E301" s="11"/>
      <c r="F301" s="11"/>
      <c r="G301" s="11"/>
      <c r="H301" s="11"/>
      <c r="I301" s="61"/>
      <c r="J301" s="60"/>
      <c r="K301" s="11"/>
      <c r="L301" s="11"/>
      <c r="M301" s="12"/>
    </row>
    <row r="302" ht="22.5" customHeight="1">
      <c r="A302" s="60"/>
      <c r="B302" s="11"/>
      <c r="C302" s="11"/>
      <c r="D302" s="11"/>
      <c r="E302" s="11"/>
      <c r="F302" s="11"/>
      <c r="G302" s="11"/>
      <c r="H302" s="11"/>
      <c r="I302" s="61"/>
      <c r="J302" s="60"/>
      <c r="K302" s="11"/>
      <c r="L302" s="11"/>
      <c r="M302" s="12"/>
    </row>
    <row r="303" ht="22.5" customHeight="1">
      <c r="A303" s="60"/>
      <c r="B303" s="11"/>
      <c r="C303" s="11"/>
      <c r="D303" s="11"/>
      <c r="E303" s="11"/>
      <c r="F303" s="11"/>
      <c r="G303" s="11"/>
      <c r="H303" s="11"/>
      <c r="I303" s="61"/>
      <c r="J303" s="60"/>
      <c r="K303" s="11"/>
      <c r="L303" s="11"/>
      <c r="M303" s="12"/>
    </row>
    <row r="304" ht="22.5" customHeight="1">
      <c r="A304" s="60"/>
      <c r="B304" s="11"/>
      <c r="C304" s="11"/>
      <c r="D304" s="11"/>
      <c r="E304" s="11"/>
      <c r="F304" s="11"/>
      <c r="G304" s="11"/>
      <c r="H304" s="11"/>
      <c r="I304" s="61"/>
      <c r="J304" s="60"/>
      <c r="K304" s="11"/>
      <c r="L304" s="11"/>
      <c r="M304" s="12"/>
    </row>
    <row r="305" ht="22.5" customHeight="1">
      <c r="A305" s="60"/>
      <c r="B305" s="11"/>
      <c r="C305" s="11"/>
      <c r="D305" s="11"/>
      <c r="E305" s="11"/>
      <c r="F305" s="11"/>
      <c r="G305" s="11"/>
      <c r="H305" s="11"/>
      <c r="I305" s="61"/>
      <c r="J305" s="60"/>
      <c r="K305" s="11"/>
      <c r="L305" s="11"/>
      <c r="M305" s="12"/>
    </row>
    <row r="306" ht="22.5" customHeight="1">
      <c r="A306" s="60"/>
      <c r="B306" s="11"/>
      <c r="C306" s="11"/>
      <c r="D306" s="11"/>
      <c r="E306" s="11"/>
      <c r="F306" s="11"/>
      <c r="G306" s="11"/>
      <c r="H306" s="11"/>
      <c r="I306" s="61"/>
      <c r="J306" s="60"/>
      <c r="K306" s="11"/>
      <c r="L306" s="11"/>
      <c r="M306" s="12"/>
    </row>
    <row r="307" ht="22.5" customHeight="1">
      <c r="A307" s="60"/>
      <c r="B307" s="11"/>
      <c r="C307" s="11"/>
      <c r="D307" s="11"/>
      <c r="E307" s="11"/>
      <c r="F307" s="11"/>
      <c r="G307" s="11"/>
      <c r="H307" s="11"/>
      <c r="I307" s="61"/>
      <c r="J307" s="60"/>
      <c r="K307" s="11"/>
      <c r="L307" s="11"/>
      <c r="M307" s="12"/>
    </row>
    <row r="308" ht="22.5" customHeight="1">
      <c r="A308" s="60"/>
      <c r="B308" s="11"/>
      <c r="C308" s="11"/>
      <c r="D308" s="11"/>
      <c r="E308" s="11"/>
      <c r="F308" s="11"/>
      <c r="G308" s="11"/>
      <c r="H308" s="11"/>
      <c r="I308" s="61"/>
      <c r="J308" s="60"/>
      <c r="K308" s="11"/>
      <c r="L308" s="11"/>
      <c r="M308" s="12"/>
    </row>
    <row r="309" ht="22.5" customHeight="1">
      <c r="A309" s="60"/>
      <c r="B309" s="11"/>
      <c r="C309" s="11"/>
      <c r="D309" s="11"/>
      <c r="E309" s="11"/>
      <c r="F309" s="11"/>
      <c r="G309" s="11"/>
      <c r="H309" s="11"/>
      <c r="I309" s="61"/>
      <c r="J309" s="60"/>
      <c r="K309" s="11"/>
      <c r="L309" s="11"/>
      <c r="M309" s="12"/>
    </row>
    <row r="310" ht="22.5" customHeight="1">
      <c r="A310" s="60"/>
      <c r="B310" s="11"/>
      <c r="C310" s="11"/>
      <c r="D310" s="11"/>
      <c r="E310" s="11"/>
      <c r="F310" s="11"/>
      <c r="G310" s="11"/>
      <c r="H310" s="11"/>
      <c r="I310" s="61"/>
      <c r="J310" s="60"/>
      <c r="K310" s="11"/>
      <c r="L310" s="11"/>
      <c r="M310" s="12"/>
    </row>
    <row r="311" ht="22.5" customHeight="1">
      <c r="A311" s="60"/>
      <c r="B311" s="11"/>
      <c r="C311" s="11"/>
      <c r="D311" s="11"/>
      <c r="E311" s="11"/>
      <c r="F311" s="11"/>
      <c r="G311" s="11"/>
      <c r="H311" s="11"/>
      <c r="I311" s="61"/>
      <c r="J311" s="60"/>
      <c r="K311" s="11"/>
      <c r="L311" s="11"/>
      <c r="M311" s="12"/>
    </row>
    <row r="312" ht="22.5" customHeight="1">
      <c r="A312" s="60"/>
      <c r="B312" s="11"/>
      <c r="C312" s="11"/>
      <c r="D312" s="11"/>
      <c r="E312" s="11"/>
      <c r="F312" s="11"/>
      <c r="G312" s="11"/>
      <c r="H312" s="11"/>
      <c r="I312" s="61"/>
      <c r="J312" s="60"/>
      <c r="K312" s="11"/>
      <c r="L312" s="11"/>
      <c r="M312" s="12"/>
    </row>
    <row r="313" ht="22.5" customHeight="1">
      <c r="A313" s="60"/>
      <c r="B313" s="11"/>
      <c r="C313" s="11"/>
      <c r="D313" s="11"/>
      <c r="E313" s="11"/>
      <c r="F313" s="11"/>
      <c r="G313" s="11"/>
      <c r="H313" s="11"/>
      <c r="I313" s="61"/>
      <c r="J313" s="60"/>
      <c r="K313" s="11"/>
      <c r="L313" s="11"/>
      <c r="M313" s="12"/>
    </row>
    <row r="314" ht="22.5" customHeight="1">
      <c r="A314" s="62"/>
      <c r="B314" s="29"/>
      <c r="C314" s="29"/>
      <c r="D314" s="29"/>
      <c r="E314" s="29"/>
      <c r="F314" s="29"/>
      <c r="G314" s="29"/>
      <c r="H314" s="29"/>
      <c r="I314" s="63"/>
      <c r="J314" s="202"/>
      <c r="K314" s="81"/>
      <c r="L314" s="81"/>
      <c r="M314" s="82"/>
    </row>
  </sheetData>
  <mergeCells count="36">
    <mergeCell ref="A2:C3"/>
    <mergeCell ref="D2:I3"/>
    <mergeCell ref="F15:H15"/>
    <mergeCell ref="A15:C15"/>
    <mergeCell ref="D15:E19"/>
    <mergeCell ref="A43:B43"/>
    <mergeCell ref="A44:B44"/>
    <mergeCell ref="B245:C245"/>
    <mergeCell ref="A177:B177"/>
    <mergeCell ref="D43:E43"/>
    <mergeCell ref="D44:E44"/>
    <mergeCell ref="D46:E46"/>
    <mergeCell ref="A77:B77"/>
    <mergeCell ref="D47:E47"/>
    <mergeCell ref="A46:B46"/>
    <mergeCell ref="H38:I38"/>
    <mergeCell ref="H39:I39"/>
    <mergeCell ref="B35:D35"/>
    <mergeCell ref="E178:I178"/>
    <mergeCell ref="B210:C210"/>
    <mergeCell ref="F78:G78"/>
    <mergeCell ref="E116:G116"/>
    <mergeCell ref="E117:G117"/>
    <mergeCell ref="C82:D82"/>
    <mergeCell ref="C83:D83"/>
    <mergeCell ref="F79:G79"/>
    <mergeCell ref="A111:B111"/>
    <mergeCell ref="C112:D112"/>
    <mergeCell ref="C113:D113"/>
    <mergeCell ref="A144:B144"/>
    <mergeCell ref="A47:B47"/>
    <mergeCell ref="B32:C32"/>
    <mergeCell ref="B31:C31"/>
    <mergeCell ref="H35:I35"/>
    <mergeCell ref="H36:I36"/>
    <mergeCell ref="H37:I37"/>
  </mergeCells>
  <conditionalFormatting sqref="D43:E44 D46:E47 F77:H80 D84:E84 F111:H111 C112:D113 F112 H112:H113 E113 D116:G116 D117">
    <cfRule type="cellIs" dxfId="2" priority="1" operator="lessThan" stopIfTrue="1">
      <formula>0</formula>
    </cfRule>
  </conditionalFormatting>
  <pageMargins left="0.708661" right="0.708661" top="0.748031" bottom="0.748031" header="0.314961" footer="0.314961"/>
  <pageSetup firstPageNumber="1" fitToHeight="1" fitToWidth="1" scale="90" useFirstPageNumber="0" orientation="portrait" pageOrder="downThenOver"/>
  <headerFooter>
    <oddHeader>&amp;L&amp;"HG丸ｺﾞｼｯｸM-PRO,Regular"&amp;16&amp;K000000将来予測シート②】</oddHeader>
    <oddFooter>&amp;C&amp;"ヒラギノ角ゴ ProN W3,Regular"&amp;12&amp;K000000&amp;P</oddFooter>
  </headerFooter>
  <drawing r:id="rId1"/>
</worksheet>
</file>

<file path=xl/worksheets/sheet6.xml><?xml version="1.0" encoding="utf-8"?>
<worksheet xmlns:r="http://schemas.openxmlformats.org/officeDocument/2006/relationships" xmlns="http://schemas.openxmlformats.org/spreadsheetml/2006/main">
  <dimension ref="A1:H170"/>
  <sheetViews>
    <sheetView workbookViewId="0" showGridLines="0" defaultGridColor="1"/>
  </sheetViews>
  <sheetFormatPr defaultColWidth="9" defaultRowHeight="22.5" customHeight="1" outlineLevelRow="0" outlineLevelCol="0"/>
  <cols>
    <col min="1" max="1" width="11.5781" style="203" customWidth="1"/>
    <col min="2" max="4" width="10" style="203" customWidth="1"/>
    <col min="5" max="5" width="11.5781" style="203" customWidth="1"/>
    <col min="6" max="6" width="10.7344" style="203" customWidth="1"/>
    <col min="7" max="7" width="12.2891" style="203" customWidth="1"/>
    <col min="8" max="8" width="12.7344" style="203" customWidth="1"/>
    <col min="9" max="256" width="9" style="203" customWidth="1"/>
  </cols>
  <sheetData>
    <row r="1" ht="22.5" customHeight="1">
      <c r="A1" t="s" s="204">
        <v>8</v>
      </c>
      <c r="B1" s="205"/>
      <c r="C1" s="205"/>
      <c r="D1" t="s" s="206">
        <v>149</v>
      </c>
      <c r="E1" s="207"/>
      <c r="F1" s="207"/>
      <c r="G1" s="207"/>
      <c r="H1" s="208"/>
    </row>
    <row r="2" ht="22.5" customHeight="1">
      <c r="A2" s="86"/>
      <c r="B2" s="45"/>
      <c r="C2" s="45"/>
      <c r="D2" s="47"/>
      <c r="E2" s="47"/>
      <c r="F2" s="47"/>
      <c r="G2" s="47"/>
      <c r="H2" s="85"/>
    </row>
    <row r="3" ht="22.5" customHeight="1">
      <c r="A3" t="s" s="65">
        <v>150</v>
      </c>
      <c r="B3" s="11"/>
      <c r="C3" s="11"/>
      <c r="D3" s="11"/>
      <c r="E3" s="11"/>
      <c r="F3" s="11"/>
      <c r="G3" s="11"/>
      <c r="H3" s="12"/>
    </row>
    <row r="4" ht="22.5" customHeight="1">
      <c r="A4" s="10"/>
      <c r="B4" s="11"/>
      <c r="C4" s="11"/>
      <c r="D4" s="11"/>
      <c r="E4" s="11"/>
      <c r="F4" s="11"/>
      <c r="G4" s="11"/>
      <c r="H4" s="12"/>
    </row>
    <row r="5" ht="40.5" customHeight="1">
      <c r="A5" t="s" s="49">
        <v>151</v>
      </c>
      <c r="B5" s="11"/>
      <c r="C5" s="11"/>
      <c r="D5" s="11"/>
      <c r="E5" s="11"/>
      <c r="F5" s="11"/>
      <c r="G5" s="11"/>
      <c r="H5" s="12"/>
    </row>
    <row r="6" ht="22.5" customHeight="1">
      <c r="A6" s="50">
        <v>2020</v>
      </c>
      <c r="B6" s="51"/>
      <c r="C6" t="s" s="52">
        <v>152</v>
      </c>
      <c r="D6" s="11"/>
      <c r="E6" s="11"/>
      <c r="F6" s="11"/>
      <c r="G6" s="11"/>
      <c r="H6" s="12"/>
    </row>
    <row r="7" ht="22.5" customHeight="1">
      <c r="A7" t="s" s="65">
        <v>153</v>
      </c>
      <c r="B7" s="11"/>
      <c r="C7" s="11"/>
      <c r="D7" s="11"/>
      <c r="E7" s="11"/>
      <c r="F7" s="209">
        <v>0.689161554192229</v>
      </c>
      <c r="G7" s="209"/>
      <c r="H7" t="s" s="93">
        <v>154</v>
      </c>
    </row>
    <row r="8" ht="22.5" customHeight="1">
      <c r="A8" t="s" s="210">
        <v>155</v>
      </c>
      <c r="B8" t="s" s="52">
        <v>156</v>
      </c>
      <c r="C8" s="11"/>
      <c r="D8" t="s" s="211">
        <v>157</v>
      </c>
      <c r="E8" s="11"/>
      <c r="F8" s="11"/>
      <c r="G8" s="11"/>
      <c r="H8" s="12"/>
    </row>
    <row r="9" ht="22.5" customHeight="1">
      <c r="A9" t="s" s="65">
        <v>158</v>
      </c>
      <c r="B9" s="11"/>
      <c r="C9" s="11"/>
      <c r="D9" t="s" s="211">
        <v>159</v>
      </c>
      <c r="E9" s="11"/>
      <c r="F9" s="11"/>
      <c r="G9" s="11"/>
      <c r="H9" s="12"/>
    </row>
    <row r="10" ht="22.5" customHeight="1">
      <c r="A10" t="s" s="65">
        <v>160</v>
      </c>
      <c r="B10" s="11"/>
      <c r="C10" s="11"/>
      <c r="D10" s="11"/>
      <c r="E10" s="11"/>
      <c r="F10" s="11"/>
      <c r="G10" s="11"/>
      <c r="H10" s="12"/>
    </row>
    <row r="11" ht="22.5" customHeight="1">
      <c r="A11" t="s" s="212">
        <v>8</v>
      </c>
      <c r="B11" s="67"/>
      <c r="C11" s="53">
        <v>1467</v>
      </c>
      <c r="D11" s="67"/>
      <c r="E11" t="s" s="52">
        <v>161</v>
      </c>
      <c r="F11" s="11"/>
      <c r="G11" s="11"/>
      <c r="H11" s="12"/>
    </row>
    <row r="12" ht="22.5" customHeight="1">
      <c r="A12" t="s" s="212">
        <f>A8</f>
        <v>162</v>
      </c>
      <c r="B12" s="67"/>
      <c r="C12" s="53">
        <v>21960</v>
      </c>
      <c r="D12" s="67"/>
      <c r="E12" t="s" s="52">
        <v>161</v>
      </c>
      <c r="F12" s="11"/>
      <c r="G12" s="11"/>
      <c r="H12" s="12"/>
    </row>
    <row r="13" ht="22.5" customHeight="1">
      <c r="A13" t="s" s="212">
        <v>163</v>
      </c>
      <c r="B13" s="67"/>
      <c r="C13" s="53">
        <v>468575</v>
      </c>
      <c r="D13" s="67"/>
      <c r="E13" t="s" s="52">
        <v>164</v>
      </c>
      <c r="F13" s="11"/>
      <c r="G13" s="11"/>
      <c r="H13" s="12"/>
    </row>
    <row r="14" ht="22.5" customHeight="1">
      <c r="A14" s="10"/>
      <c r="B14" s="11"/>
      <c r="C14" s="11"/>
      <c r="D14" s="11"/>
      <c r="E14" s="11"/>
      <c r="F14" s="11"/>
      <c r="G14" s="11"/>
      <c r="H14" s="12"/>
    </row>
    <row r="15" ht="22.5" customHeight="1">
      <c r="A15" s="10"/>
      <c r="B15" s="11"/>
      <c r="C15" s="11"/>
      <c r="D15" s="11"/>
      <c r="E15" s="11"/>
      <c r="F15" s="11"/>
      <c r="G15" s="11"/>
      <c r="H15" s="12"/>
    </row>
    <row r="16" ht="22.5" customHeight="1">
      <c r="A16" s="10"/>
      <c r="B16" s="11"/>
      <c r="C16" s="11"/>
      <c r="D16" s="11"/>
      <c r="E16" s="11"/>
      <c r="F16" s="11"/>
      <c r="G16" s="11"/>
      <c r="H16" s="12"/>
    </row>
    <row r="17" ht="22.5" customHeight="1">
      <c r="A17" s="10"/>
      <c r="B17" s="11"/>
      <c r="C17" s="11"/>
      <c r="D17" s="11"/>
      <c r="E17" s="11"/>
      <c r="F17" s="11"/>
      <c r="G17" s="11"/>
      <c r="H17" s="12"/>
    </row>
    <row r="18" ht="22.5" customHeight="1">
      <c r="A18" s="10"/>
      <c r="B18" s="11"/>
      <c r="C18" s="11"/>
      <c r="D18" s="11"/>
      <c r="E18" s="11"/>
      <c r="F18" s="11"/>
      <c r="G18" s="11"/>
      <c r="H18" s="12"/>
    </row>
    <row r="19" ht="22.5" customHeight="1">
      <c r="A19" s="10"/>
      <c r="B19" s="11"/>
      <c r="C19" s="11"/>
      <c r="D19" s="11"/>
      <c r="E19" s="11"/>
      <c r="F19" s="11"/>
      <c r="G19" s="11"/>
      <c r="H19" s="12"/>
    </row>
    <row r="20" ht="22.5" customHeight="1">
      <c r="A20" s="10"/>
      <c r="B20" s="11"/>
      <c r="C20" s="11"/>
      <c r="D20" s="11"/>
      <c r="E20" s="11"/>
      <c r="F20" s="11"/>
      <c r="G20" s="11"/>
      <c r="H20" s="12"/>
    </row>
    <row r="21" ht="22.5" customHeight="1">
      <c r="A21" s="10"/>
      <c r="B21" s="11"/>
      <c r="C21" s="11"/>
      <c r="D21" s="11"/>
      <c r="E21" s="11"/>
      <c r="F21" s="11"/>
      <c r="G21" s="11"/>
      <c r="H21" s="12"/>
    </row>
    <row r="22" ht="22.5" customHeight="1">
      <c r="A22" s="10"/>
      <c r="B22" s="11"/>
      <c r="C22" s="11"/>
      <c r="D22" s="11"/>
      <c r="E22" s="11"/>
      <c r="F22" s="11"/>
      <c r="G22" s="11"/>
      <c r="H22" s="12"/>
    </row>
    <row r="23" ht="22.5" customHeight="1">
      <c r="A23" t="s" s="65">
        <v>165</v>
      </c>
      <c r="B23" s="11"/>
      <c r="C23" s="11"/>
      <c r="D23" s="11"/>
      <c r="E23" s="11"/>
      <c r="F23" s="11"/>
      <c r="G23" s="213">
        <v>0.232447171097478</v>
      </c>
      <c r="H23" t="s" s="214">
        <v>154</v>
      </c>
    </row>
    <row r="24" ht="22.5" customHeight="1">
      <c r="A24" t="s" s="210">
        <v>155</v>
      </c>
      <c r="B24" t="s" s="52">
        <v>156</v>
      </c>
      <c r="C24" s="11"/>
      <c r="D24" t="s" s="215">
        <v>157</v>
      </c>
      <c r="E24" s="11"/>
      <c r="F24" s="11"/>
      <c r="G24" s="11"/>
      <c r="H24" s="12"/>
    </row>
    <row r="25" ht="22.5" customHeight="1">
      <c r="A25" t="s" s="65">
        <v>158</v>
      </c>
      <c r="B25" s="11"/>
      <c r="C25" s="11"/>
      <c r="D25" t="s" s="211">
        <v>159</v>
      </c>
      <c r="E25" s="11"/>
      <c r="F25" s="11"/>
      <c r="G25" s="11"/>
      <c r="H25" s="12"/>
    </row>
    <row r="26" ht="22.5" customHeight="1">
      <c r="A26" s="10"/>
      <c r="B26" s="11"/>
      <c r="C26" s="11"/>
      <c r="D26" s="11"/>
      <c r="E26" s="11"/>
      <c r="F26" s="11"/>
      <c r="G26" s="11"/>
      <c r="H26" s="12"/>
    </row>
    <row r="27" ht="22.5" customHeight="1">
      <c r="A27" s="10"/>
      <c r="B27" s="11"/>
      <c r="C27" s="11"/>
      <c r="D27" s="11"/>
      <c r="E27" s="11"/>
      <c r="F27" s="11"/>
      <c r="G27" s="11"/>
      <c r="H27" s="12"/>
    </row>
    <row r="28" ht="22.5" customHeight="1">
      <c r="A28" s="10"/>
      <c r="B28" s="11"/>
      <c r="C28" s="11"/>
      <c r="D28" s="11"/>
      <c r="E28" s="11"/>
      <c r="F28" s="11"/>
      <c r="G28" s="11"/>
      <c r="H28" s="12"/>
    </row>
    <row r="29" ht="22.5" customHeight="1">
      <c r="A29" s="10"/>
      <c r="B29" s="11"/>
      <c r="C29" s="11"/>
      <c r="D29" s="11"/>
      <c r="E29" s="11"/>
      <c r="F29" s="11"/>
      <c r="G29" s="11"/>
      <c r="H29" s="12"/>
    </row>
    <row r="30" ht="22.5" customHeight="1">
      <c r="A30" s="10"/>
      <c r="B30" s="11"/>
      <c r="C30" s="11"/>
      <c r="D30" s="11"/>
      <c r="E30" s="11"/>
      <c r="F30" s="11"/>
      <c r="G30" s="11"/>
      <c r="H30" s="12"/>
    </row>
    <row r="31" ht="22.5" customHeight="1">
      <c r="A31" s="10"/>
      <c r="B31" s="11"/>
      <c r="C31" s="11"/>
      <c r="D31" s="11"/>
      <c r="E31" s="11"/>
      <c r="F31" s="11"/>
      <c r="G31" s="11"/>
      <c r="H31" s="12"/>
    </row>
    <row r="32" ht="22.5" customHeight="1">
      <c r="A32" s="10"/>
      <c r="B32" s="11"/>
      <c r="C32" s="11"/>
      <c r="D32" s="11"/>
      <c r="E32" s="11"/>
      <c r="F32" s="11"/>
      <c r="G32" s="11"/>
      <c r="H32" s="12"/>
    </row>
    <row r="33" ht="22.5" customHeight="1">
      <c r="A33" s="10"/>
      <c r="B33" s="11"/>
      <c r="C33" s="11"/>
      <c r="D33" s="11"/>
      <c r="E33" s="11"/>
      <c r="F33" s="11"/>
      <c r="G33" s="11"/>
      <c r="H33" s="12"/>
    </row>
    <row r="34" ht="22.5" customHeight="1">
      <c r="A34" s="10"/>
      <c r="B34" s="11"/>
      <c r="C34" s="11"/>
      <c r="D34" s="11"/>
      <c r="E34" s="11"/>
      <c r="F34" s="11"/>
      <c r="G34" s="11"/>
      <c r="H34" s="12"/>
    </row>
    <row r="35" ht="40.5" customHeight="1">
      <c r="A35" t="s" s="49">
        <v>166</v>
      </c>
      <c r="B35" s="11"/>
      <c r="C35" s="11"/>
      <c r="D35" s="11"/>
      <c r="E35" s="11"/>
      <c r="F35" s="11"/>
      <c r="G35" s="11"/>
      <c r="H35" s="12"/>
    </row>
    <row r="36" ht="22.5" customHeight="1">
      <c r="A36" s="50">
        <v>2020</v>
      </c>
      <c r="B36" s="51"/>
      <c r="C36" t="s" s="52">
        <v>152</v>
      </c>
      <c r="D36" s="11"/>
      <c r="E36" s="11"/>
      <c r="F36" s="11"/>
      <c r="G36" s="11"/>
      <c r="H36" s="12"/>
    </row>
    <row r="37" ht="22.5" customHeight="1">
      <c r="A37" t="s" s="65">
        <v>167</v>
      </c>
      <c r="B37" s="11"/>
      <c r="C37" s="11"/>
      <c r="D37" s="11"/>
      <c r="E37" s="11"/>
      <c r="F37" s="209">
        <v>0.168745896257387</v>
      </c>
      <c r="G37" s="209"/>
      <c r="H37" t="s" s="93">
        <v>154</v>
      </c>
    </row>
    <row r="38" ht="22.5" customHeight="1">
      <c r="A38" t="s" s="210">
        <v>155</v>
      </c>
      <c r="B38" t="s" s="52">
        <v>156</v>
      </c>
      <c r="C38" s="11"/>
      <c r="D38" t="s" s="215">
        <v>168</v>
      </c>
      <c r="E38" s="11"/>
      <c r="F38" s="11"/>
      <c r="G38" s="11"/>
      <c r="H38" s="12"/>
    </row>
    <row r="39" ht="22.5" customHeight="1">
      <c r="A39" t="s" s="65">
        <v>158</v>
      </c>
      <c r="B39" s="11"/>
      <c r="C39" s="11"/>
      <c r="D39" t="s" s="211">
        <v>169</v>
      </c>
      <c r="E39" s="11"/>
      <c r="F39" s="11"/>
      <c r="G39" s="11"/>
      <c r="H39" s="12"/>
    </row>
    <row r="40" ht="22.5" customHeight="1">
      <c r="A40" s="10"/>
      <c r="B40" s="11"/>
      <c r="C40" s="11"/>
      <c r="D40" s="66"/>
      <c r="E40" s="11"/>
      <c r="F40" s="11"/>
      <c r="G40" s="11"/>
      <c r="H40" s="12"/>
    </row>
    <row r="41" ht="22.5" customHeight="1">
      <c r="A41" t="s" s="210">
        <v>155</v>
      </c>
      <c r="B41" t="s" s="52">
        <v>170</v>
      </c>
      <c r="C41" s="11"/>
      <c r="D41" t="s" s="211">
        <v>171</v>
      </c>
      <c r="E41" s="11"/>
      <c r="F41" s="11"/>
      <c r="G41" s="11"/>
      <c r="H41" s="12"/>
    </row>
    <row r="42" ht="22.5" customHeight="1">
      <c r="A42" t="s" s="65">
        <v>172</v>
      </c>
      <c r="B42" s="11"/>
      <c r="C42" s="11"/>
      <c r="D42" t="s" s="211">
        <v>171</v>
      </c>
      <c r="E42" s="11"/>
      <c r="F42" s="11"/>
      <c r="G42" s="11"/>
      <c r="H42" s="12"/>
    </row>
    <row r="43" ht="22.5" customHeight="1">
      <c r="A43" s="10"/>
      <c r="B43" s="11"/>
      <c r="C43" s="11"/>
      <c r="D43" s="11"/>
      <c r="E43" s="11"/>
      <c r="F43" s="11"/>
      <c r="G43" s="11"/>
      <c r="H43" s="12"/>
    </row>
    <row r="44" ht="22.5" customHeight="1">
      <c r="A44" s="10"/>
      <c r="B44" s="11"/>
      <c r="C44" s="11"/>
      <c r="D44" s="11"/>
      <c r="E44" s="11"/>
      <c r="F44" s="11"/>
      <c r="G44" s="11"/>
      <c r="H44" s="12"/>
    </row>
    <row r="45" ht="22.5" customHeight="1">
      <c r="A45" s="10"/>
      <c r="B45" s="11"/>
      <c r="C45" s="11"/>
      <c r="D45" s="11"/>
      <c r="E45" s="11"/>
      <c r="F45" s="11"/>
      <c r="G45" s="11"/>
      <c r="H45" s="12"/>
    </row>
    <row r="46" ht="22.5" customHeight="1">
      <c r="A46" s="10"/>
      <c r="B46" s="11"/>
      <c r="C46" s="11"/>
      <c r="D46" s="11"/>
      <c r="E46" s="11"/>
      <c r="F46" s="11"/>
      <c r="G46" s="11"/>
      <c r="H46" s="12"/>
    </row>
    <row r="47" ht="22.5" customHeight="1">
      <c r="A47" s="10"/>
      <c r="B47" s="11"/>
      <c r="C47" s="11"/>
      <c r="D47" s="11"/>
      <c r="E47" s="11"/>
      <c r="F47" s="11"/>
      <c r="G47" s="11"/>
      <c r="H47" s="12"/>
    </row>
    <row r="48" ht="22.5" customHeight="1">
      <c r="A48" s="10"/>
      <c r="B48" s="11"/>
      <c r="C48" s="11"/>
      <c r="D48" s="11"/>
      <c r="E48" s="11"/>
      <c r="F48" s="11"/>
      <c r="G48" s="11"/>
      <c r="H48" s="12"/>
    </row>
    <row r="49" ht="22.5" customHeight="1">
      <c r="A49" s="10"/>
      <c r="B49" s="11"/>
      <c r="C49" s="11"/>
      <c r="D49" s="11"/>
      <c r="E49" s="11"/>
      <c r="F49" s="11"/>
      <c r="G49" s="11"/>
      <c r="H49" s="12"/>
    </row>
    <row r="50" ht="22.5" customHeight="1">
      <c r="A50" s="10"/>
      <c r="B50" s="11"/>
      <c r="C50" s="11"/>
      <c r="D50" s="11"/>
      <c r="E50" s="11"/>
      <c r="F50" s="11"/>
      <c r="G50" s="11"/>
      <c r="H50" s="12"/>
    </row>
    <row r="51" ht="22.5" customHeight="1">
      <c r="A51" s="10"/>
      <c r="B51" s="11"/>
      <c r="C51" s="11"/>
      <c r="D51" s="11"/>
      <c r="E51" s="11"/>
      <c r="F51" s="11"/>
      <c r="G51" s="11"/>
      <c r="H51" s="12"/>
    </row>
    <row r="52" ht="22.5" customHeight="1">
      <c r="A52" s="10"/>
      <c r="B52" s="11"/>
      <c r="C52" s="11"/>
      <c r="D52" s="11"/>
      <c r="E52" s="11"/>
      <c r="F52" s="11"/>
      <c r="G52" s="11"/>
      <c r="H52" s="12"/>
    </row>
    <row r="53" ht="22.5" customHeight="1">
      <c r="A53" s="10"/>
      <c r="B53" s="11"/>
      <c r="C53" s="11"/>
      <c r="D53" s="11"/>
      <c r="E53" s="11"/>
      <c r="F53" s="11"/>
      <c r="G53" s="11"/>
      <c r="H53" s="12"/>
    </row>
    <row r="54" ht="22.5" customHeight="1">
      <c r="A54" s="10"/>
      <c r="B54" s="11"/>
      <c r="C54" s="11"/>
      <c r="D54" s="11"/>
      <c r="E54" s="11"/>
      <c r="F54" s="11"/>
      <c r="G54" s="11"/>
      <c r="H54" s="12"/>
    </row>
    <row r="55" ht="22.5" customHeight="1">
      <c r="A55" s="10"/>
      <c r="B55" s="11"/>
      <c r="C55" s="11"/>
      <c r="D55" s="11"/>
      <c r="E55" s="11"/>
      <c r="F55" s="11"/>
      <c r="G55" s="11"/>
      <c r="H55" s="12"/>
    </row>
    <row r="56" ht="22.5" customHeight="1">
      <c r="A56" s="10"/>
      <c r="B56" s="11"/>
      <c r="C56" s="11"/>
      <c r="D56" s="11"/>
      <c r="E56" s="11"/>
      <c r="F56" s="11"/>
      <c r="G56" s="11"/>
      <c r="H56" s="12"/>
    </row>
    <row r="57" ht="22.5" customHeight="1">
      <c r="A57" s="10"/>
      <c r="B57" s="11"/>
      <c r="C57" s="11"/>
      <c r="D57" s="11"/>
      <c r="E57" s="11"/>
      <c r="F57" s="11"/>
      <c r="G57" s="11"/>
      <c r="H57" s="12"/>
    </row>
    <row r="58" ht="22.5" customHeight="1">
      <c r="A58" s="10"/>
      <c r="B58" s="11"/>
      <c r="C58" s="11"/>
      <c r="D58" s="11"/>
      <c r="E58" s="11"/>
      <c r="F58" s="11"/>
      <c r="G58" s="11"/>
      <c r="H58" s="12"/>
    </row>
    <row r="59" ht="22.5" customHeight="1">
      <c r="A59" s="10"/>
      <c r="B59" s="11"/>
      <c r="C59" s="11"/>
      <c r="D59" s="11"/>
      <c r="E59" s="11"/>
      <c r="F59" s="11"/>
      <c r="G59" s="11"/>
      <c r="H59" s="12"/>
    </row>
    <row r="60" ht="22.5" customHeight="1">
      <c r="A60" s="10"/>
      <c r="B60" s="11"/>
      <c r="C60" s="11"/>
      <c r="D60" s="11"/>
      <c r="E60" s="11"/>
      <c r="F60" s="11"/>
      <c r="G60" s="11"/>
      <c r="H60" s="12"/>
    </row>
    <row r="61" ht="22.5" customHeight="1">
      <c r="A61" s="10"/>
      <c r="B61" s="11"/>
      <c r="C61" s="11"/>
      <c r="D61" s="11"/>
      <c r="E61" s="11"/>
      <c r="F61" s="11"/>
      <c r="G61" s="11"/>
      <c r="H61" s="12"/>
    </row>
    <row r="62" ht="22.5" customHeight="1">
      <c r="A62" s="10"/>
      <c r="B62" s="11"/>
      <c r="C62" s="11"/>
      <c r="D62" s="11"/>
      <c r="E62" s="11"/>
      <c r="F62" s="11"/>
      <c r="G62" s="11"/>
      <c r="H62" s="12"/>
    </row>
    <row r="63" ht="22.5" customHeight="1">
      <c r="A63" s="10"/>
      <c r="B63" s="11"/>
      <c r="C63" s="11"/>
      <c r="D63" s="11"/>
      <c r="E63" s="11"/>
      <c r="F63" s="11"/>
      <c r="G63" s="11"/>
      <c r="H63" s="12"/>
    </row>
    <row r="64" ht="22.5" customHeight="1">
      <c r="A64" s="10"/>
      <c r="B64" s="11"/>
      <c r="C64" s="11"/>
      <c r="D64" s="11"/>
      <c r="E64" s="11"/>
      <c r="F64" s="11"/>
      <c r="G64" s="11"/>
      <c r="H64" s="12"/>
    </row>
    <row r="65" ht="22.5" customHeight="1">
      <c r="A65" s="10"/>
      <c r="B65" s="11"/>
      <c r="C65" s="11"/>
      <c r="D65" s="11"/>
      <c r="E65" s="11"/>
      <c r="F65" s="11"/>
      <c r="G65" s="11"/>
      <c r="H65" s="12"/>
    </row>
    <row r="66" ht="22.5" customHeight="1">
      <c r="A66" s="10"/>
      <c r="B66" s="11"/>
      <c r="C66" s="11"/>
      <c r="D66" s="11"/>
      <c r="E66" s="11"/>
      <c r="F66" s="11"/>
      <c r="G66" s="11"/>
      <c r="H66" s="12"/>
    </row>
    <row r="67" ht="22.5" customHeight="1">
      <c r="A67" s="10"/>
      <c r="B67" s="11"/>
      <c r="C67" s="11"/>
      <c r="D67" s="11"/>
      <c r="E67" s="11"/>
      <c r="F67" s="11"/>
      <c r="G67" s="11"/>
      <c r="H67" s="12"/>
    </row>
    <row r="68" ht="22.5" customHeight="1">
      <c r="A68" s="10"/>
      <c r="B68" s="11"/>
      <c r="C68" s="11"/>
      <c r="D68" s="11"/>
      <c r="E68" s="11"/>
      <c r="F68" s="11"/>
      <c r="G68" s="11"/>
      <c r="H68" s="12"/>
    </row>
    <row r="69" ht="40.5" customHeight="1">
      <c r="A69" t="s" s="49">
        <v>173</v>
      </c>
      <c r="B69" s="11"/>
      <c r="C69" s="11"/>
      <c r="D69" s="11"/>
      <c r="E69" s="11"/>
      <c r="F69" s="11"/>
      <c r="G69" s="11"/>
      <c r="H69" s="12"/>
    </row>
    <row r="70" ht="22.5" customHeight="1">
      <c r="A70" t="s" s="65">
        <v>174</v>
      </c>
      <c r="B70" s="66"/>
      <c r="C70" s="11"/>
      <c r="D70" s="11"/>
      <c r="E70" s="53">
        <v>289</v>
      </c>
      <c r="F70" s="53"/>
      <c r="G70" t="s" s="52">
        <v>28</v>
      </c>
      <c r="H70" s="12"/>
    </row>
    <row r="71" ht="22.5" customHeight="1">
      <c r="A71" t="s" s="65">
        <v>175</v>
      </c>
      <c r="B71" s="11"/>
      <c r="C71" s="11"/>
      <c r="D71" s="11"/>
      <c r="E71" s="11"/>
      <c r="F71" s="209">
        <v>0.131487889273356</v>
      </c>
      <c r="G71" s="209"/>
      <c r="H71" t="s" s="93">
        <v>74</v>
      </c>
    </row>
    <row r="72" ht="22.5" customHeight="1">
      <c r="A72" t="s" s="65">
        <v>176</v>
      </c>
      <c r="B72" s="11"/>
      <c r="C72" s="11"/>
      <c r="D72" s="11"/>
      <c r="E72" s="11"/>
      <c r="F72" s="209">
        <v>0.252595155709343</v>
      </c>
      <c r="G72" s="209"/>
      <c r="H72" t="s" s="93">
        <v>45</v>
      </c>
    </row>
    <row r="73" ht="22.5" customHeight="1">
      <c r="A73" t="s" s="65">
        <v>177</v>
      </c>
      <c r="B73" s="11"/>
      <c r="C73" s="11"/>
      <c r="D73" s="11"/>
      <c r="E73" s="209"/>
      <c r="F73" s="209"/>
      <c r="G73" s="11"/>
      <c r="H73" s="12"/>
    </row>
    <row r="74" ht="22.5" customHeight="1">
      <c r="A74" t="s" s="65">
        <v>178</v>
      </c>
      <c r="B74" s="11"/>
      <c r="C74" s="216">
        <v>0.522491349480969</v>
      </c>
      <c r="D74" t="s" s="217">
        <v>179</v>
      </c>
      <c r="E74" s="216">
        <v>0.477508650519031</v>
      </c>
      <c r="F74" t="s" s="52">
        <v>45</v>
      </c>
      <c r="G74" s="11"/>
      <c r="H74" s="12"/>
    </row>
    <row r="75" ht="22.5" customHeight="1">
      <c r="A75" s="10"/>
      <c r="B75" s="11"/>
      <c r="C75" s="11"/>
      <c r="D75" s="11"/>
      <c r="E75" s="11"/>
      <c r="F75" s="11"/>
      <c r="G75" s="11"/>
      <c r="H75" s="12"/>
    </row>
    <row r="76" ht="22.5" customHeight="1">
      <c r="A76" t="s" s="210">
        <v>155</v>
      </c>
      <c r="B76" t="s" s="52">
        <v>170</v>
      </c>
      <c r="C76" s="11"/>
      <c r="D76" t="s" s="211">
        <v>180</v>
      </c>
      <c r="E76" s="11"/>
      <c r="F76" s="11"/>
      <c r="G76" s="11"/>
      <c r="H76" s="12"/>
    </row>
    <row r="77" ht="22.5" customHeight="1">
      <c r="A77" t="s" s="65">
        <v>172</v>
      </c>
      <c r="B77" s="11"/>
      <c r="C77" s="11"/>
      <c r="D77" t="s" s="211">
        <v>180</v>
      </c>
      <c r="E77" s="11"/>
      <c r="F77" s="11"/>
      <c r="G77" s="11"/>
      <c r="H77" s="12"/>
    </row>
    <row r="78" ht="22.5" customHeight="1">
      <c r="A78" s="10"/>
      <c r="B78" s="11"/>
      <c r="C78" s="11"/>
      <c r="D78" s="11"/>
      <c r="E78" s="11"/>
      <c r="F78" s="11"/>
      <c r="G78" s="11"/>
      <c r="H78" s="12"/>
    </row>
    <row r="79" ht="22.5" customHeight="1">
      <c r="A79" s="10"/>
      <c r="B79" s="11"/>
      <c r="C79" s="11"/>
      <c r="D79" s="11"/>
      <c r="E79" s="11"/>
      <c r="F79" s="11"/>
      <c r="G79" s="11"/>
      <c r="H79" s="12"/>
    </row>
    <row r="80" ht="22.5" customHeight="1">
      <c r="A80" s="10"/>
      <c r="B80" s="11"/>
      <c r="C80" s="11"/>
      <c r="D80" s="11"/>
      <c r="E80" s="11"/>
      <c r="F80" s="11"/>
      <c r="G80" s="11"/>
      <c r="H80" s="12"/>
    </row>
    <row r="81" ht="22.5" customHeight="1">
      <c r="A81" s="10"/>
      <c r="B81" s="11"/>
      <c r="C81" s="11"/>
      <c r="D81" s="11"/>
      <c r="E81" s="11"/>
      <c r="F81" s="11"/>
      <c r="G81" s="11"/>
      <c r="H81" s="12"/>
    </row>
    <row r="82" ht="22.5" customHeight="1">
      <c r="A82" s="10"/>
      <c r="B82" s="11"/>
      <c r="C82" s="11"/>
      <c r="D82" s="11"/>
      <c r="E82" s="11"/>
      <c r="F82" s="11"/>
      <c r="G82" s="11"/>
      <c r="H82" s="12"/>
    </row>
    <row r="83" ht="22.5" customHeight="1">
      <c r="A83" s="10"/>
      <c r="B83" s="11"/>
      <c r="C83" s="11"/>
      <c r="D83" s="11"/>
      <c r="E83" s="11"/>
      <c r="F83" s="11"/>
      <c r="G83" s="11"/>
      <c r="H83" s="12"/>
    </row>
    <row r="84" ht="22.5" customHeight="1">
      <c r="A84" s="10"/>
      <c r="B84" s="11"/>
      <c r="C84" s="11"/>
      <c r="D84" s="11"/>
      <c r="E84" s="11"/>
      <c r="F84" s="11"/>
      <c r="G84" s="11"/>
      <c r="H84" s="12"/>
    </row>
    <row r="85" ht="22.5" customHeight="1">
      <c r="A85" s="10"/>
      <c r="B85" s="11"/>
      <c r="C85" s="11"/>
      <c r="D85" s="11"/>
      <c r="E85" s="11"/>
      <c r="F85" s="11"/>
      <c r="G85" s="11"/>
      <c r="H85" s="12"/>
    </row>
    <row r="86" ht="22.5" customHeight="1">
      <c r="A86" s="10"/>
      <c r="B86" s="11"/>
      <c r="C86" s="11"/>
      <c r="D86" s="11"/>
      <c r="E86" s="11"/>
      <c r="F86" s="11"/>
      <c r="G86" s="11"/>
      <c r="H86" s="12"/>
    </row>
    <row r="87" ht="22.5" customHeight="1">
      <c r="A87" s="10"/>
      <c r="B87" s="11"/>
      <c r="C87" s="11"/>
      <c r="D87" s="11"/>
      <c r="E87" s="11"/>
      <c r="F87" s="11"/>
      <c r="G87" s="11"/>
      <c r="H87" s="12"/>
    </row>
    <row r="88" ht="22.5" customHeight="1">
      <c r="A88" s="10"/>
      <c r="B88" s="11"/>
      <c r="C88" s="11"/>
      <c r="D88" s="11"/>
      <c r="E88" s="11"/>
      <c r="F88" s="11"/>
      <c r="G88" s="11"/>
      <c r="H88" s="12"/>
    </row>
    <row r="89" ht="22.5" customHeight="1">
      <c r="A89" s="10"/>
      <c r="B89" s="11"/>
      <c r="C89" s="11"/>
      <c r="D89" s="11"/>
      <c r="E89" s="11"/>
      <c r="F89" s="11"/>
      <c r="G89" s="11"/>
      <c r="H89" s="12"/>
    </row>
    <row r="90" ht="22.5" customHeight="1">
      <c r="A90" s="10"/>
      <c r="B90" s="11"/>
      <c r="C90" s="11"/>
      <c r="D90" s="11"/>
      <c r="E90" s="11"/>
      <c r="F90" s="11"/>
      <c r="G90" s="11"/>
      <c r="H90" s="12"/>
    </row>
    <row r="91" ht="22.5" customHeight="1">
      <c r="A91" s="10"/>
      <c r="B91" s="11"/>
      <c r="C91" s="11"/>
      <c r="D91" s="11"/>
      <c r="E91" s="11"/>
      <c r="F91" s="11"/>
      <c r="G91" s="11"/>
      <c r="H91" s="12"/>
    </row>
    <row r="92" ht="22.5" customHeight="1">
      <c r="A92" s="10"/>
      <c r="B92" s="11"/>
      <c r="C92" s="11"/>
      <c r="D92" s="11"/>
      <c r="E92" s="11"/>
      <c r="F92" s="11"/>
      <c r="G92" s="11"/>
      <c r="H92" s="12"/>
    </row>
    <row r="93" ht="22.5" customHeight="1">
      <c r="A93" s="10"/>
      <c r="B93" s="11"/>
      <c r="C93" s="11"/>
      <c r="D93" s="11"/>
      <c r="E93" s="11"/>
      <c r="F93" s="11"/>
      <c r="G93" s="11"/>
      <c r="H93" s="12"/>
    </row>
    <row r="94" ht="22.5" customHeight="1">
      <c r="A94" s="10"/>
      <c r="B94" s="11"/>
      <c r="C94" s="11"/>
      <c r="D94" s="11"/>
      <c r="E94" s="11"/>
      <c r="F94" s="11"/>
      <c r="G94" s="11"/>
      <c r="H94" s="12"/>
    </row>
    <row r="95" ht="22.5" customHeight="1">
      <c r="A95" s="28"/>
      <c r="B95" s="29"/>
      <c r="C95" s="29"/>
      <c r="D95" s="29"/>
      <c r="E95" s="29"/>
      <c r="F95" s="29"/>
      <c r="G95" s="29"/>
      <c r="H95" s="30"/>
    </row>
    <row r="96" ht="22.5" customHeight="1">
      <c r="A96" t="s" s="98">
        <v>181</v>
      </c>
      <c r="B96" s="58"/>
      <c r="C96" s="58"/>
      <c r="D96" s="58"/>
      <c r="E96" s="58"/>
      <c r="F96" s="58"/>
      <c r="G96" s="58"/>
      <c r="H96" s="59"/>
    </row>
    <row r="97" ht="22.5" customHeight="1">
      <c r="A97" t="s" s="99">
        <v>182</v>
      </c>
      <c r="B97" s="11"/>
      <c r="C97" s="11"/>
      <c r="D97" s="11"/>
      <c r="E97" s="11"/>
      <c r="F97" s="11"/>
      <c r="G97" s="11"/>
      <c r="H97" s="61"/>
    </row>
    <row r="98" ht="22.5" customHeight="1">
      <c r="A98" s="60"/>
      <c r="B98" s="11"/>
      <c r="C98" s="11"/>
      <c r="D98" s="11"/>
      <c r="E98" s="11"/>
      <c r="F98" s="11"/>
      <c r="G98" s="11"/>
      <c r="H98" s="61"/>
    </row>
    <row r="99" ht="22.5" customHeight="1">
      <c r="A99" s="60"/>
      <c r="B99" s="11"/>
      <c r="C99" s="11"/>
      <c r="D99" s="11"/>
      <c r="E99" s="11"/>
      <c r="F99" s="11"/>
      <c r="G99" s="11"/>
      <c r="H99" s="61"/>
    </row>
    <row r="100" ht="22.5" customHeight="1">
      <c r="A100" s="60"/>
      <c r="B100" s="11"/>
      <c r="C100" s="11"/>
      <c r="D100" s="11"/>
      <c r="E100" s="11"/>
      <c r="F100" s="11"/>
      <c r="G100" s="11"/>
      <c r="H100" s="61"/>
    </row>
    <row r="101" ht="22.5" customHeight="1">
      <c r="A101" s="60"/>
      <c r="B101" s="11"/>
      <c r="C101" s="11"/>
      <c r="D101" s="11"/>
      <c r="E101" s="11"/>
      <c r="F101" s="11"/>
      <c r="G101" s="11"/>
      <c r="H101" s="61"/>
    </row>
    <row r="102" ht="22.5" customHeight="1">
      <c r="A102" s="62"/>
      <c r="B102" s="29"/>
      <c r="C102" s="29"/>
      <c r="D102" s="29"/>
      <c r="E102" s="29"/>
      <c r="F102" s="29"/>
      <c r="G102" s="29"/>
      <c r="H102" s="63"/>
    </row>
    <row r="103" ht="40.5" customHeight="1">
      <c r="A103" t="s" s="64">
        <v>183</v>
      </c>
      <c r="B103" s="58"/>
      <c r="C103" s="58"/>
      <c r="D103" s="58"/>
      <c r="E103" s="58"/>
      <c r="F103" s="58"/>
      <c r="G103" s="58"/>
      <c r="H103" s="218"/>
    </row>
    <row r="104" ht="22.5" customHeight="1">
      <c r="A104" s="50">
        <v>2020</v>
      </c>
      <c r="B104" s="51"/>
      <c r="C104" t="s" s="52">
        <v>152</v>
      </c>
      <c r="D104" s="11"/>
      <c r="E104" s="11"/>
      <c r="F104" s="11"/>
      <c r="G104" s="11"/>
      <c r="H104" s="12"/>
    </row>
    <row r="105" ht="22.5" customHeight="1">
      <c r="A105" t="s" s="65">
        <v>184</v>
      </c>
      <c r="B105" s="11"/>
      <c r="C105" s="11"/>
      <c r="D105" s="11"/>
      <c r="E105" s="11"/>
      <c r="F105" s="219"/>
      <c r="G105" s="219"/>
      <c r="H105" s="12"/>
    </row>
    <row r="106" ht="22.5" customHeight="1">
      <c r="A106" s="10"/>
      <c r="B106" s="11"/>
      <c r="C106" s="11"/>
      <c r="D106" s="11"/>
      <c r="E106" s="11"/>
      <c r="F106" s="11"/>
      <c r="G106" s="11"/>
      <c r="H106" s="12"/>
    </row>
    <row r="107" ht="22.5" customHeight="1">
      <c r="A107" s="10"/>
      <c r="B107" s="11"/>
      <c r="C107" s="11"/>
      <c r="D107" s="11"/>
      <c r="E107" s="11"/>
      <c r="F107" s="11"/>
      <c r="G107" s="11"/>
      <c r="H107" s="12"/>
    </row>
    <row r="108" ht="22.5" customHeight="1">
      <c r="A108" s="10"/>
      <c r="B108" s="11"/>
      <c r="C108" s="11"/>
      <c r="D108" s="11"/>
      <c r="E108" s="11"/>
      <c r="F108" s="11"/>
      <c r="G108" s="11"/>
      <c r="H108" s="12"/>
    </row>
    <row r="109" ht="22.5" customHeight="1">
      <c r="A109" s="10"/>
      <c r="B109" s="11"/>
      <c r="C109" s="11"/>
      <c r="D109" s="11"/>
      <c r="E109" s="11"/>
      <c r="F109" s="11"/>
      <c r="G109" s="11"/>
      <c r="H109" s="12"/>
    </row>
    <row r="110" ht="22.5" customHeight="1">
      <c r="A110" s="10"/>
      <c r="B110" s="11"/>
      <c r="C110" s="11"/>
      <c r="D110" s="11"/>
      <c r="E110" s="11"/>
      <c r="F110" s="11"/>
      <c r="G110" s="11"/>
      <c r="H110" s="12"/>
    </row>
    <row r="111" ht="22.5" customHeight="1">
      <c r="A111" s="10"/>
      <c r="B111" s="11"/>
      <c r="C111" s="11"/>
      <c r="D111" s="11"/>
      <c r="E111" s="11"/>
      <c r="F111" s="11"/>
      <c r="G111" s="11"/>
      <c r="H111" s="12"/>
    </row>
    <row r="112" ht="22.5" customHeight="1">
      <c r="A112" s="10"/>
      <c r="B112" s="11"/>
      <c r="C112" s="11"/>
      <c r="D112" s="11"/>
      <c r="E112" s="11"/>
      <c r="F112" s="11"/>
      <c r="G112" s="11"/>
      <c r="H112" s="12"/>
    </row>
    <row r="113" ht="22.5" customHeight="1">
      <c r="A113" s="10"/>
      <c r="B113" s="11"/>
      <c r="C113" s="11"/>
      <c r="D113" s="11"/>
      <c r="E113" s="11"/>
      <c r="F113" s="11"/>
      <c r="G113" s="11"/>
      <c r="H113" s="12"/>
    </row>
    <row r="114" ht="22.5" customHeight="1">
      <c r="A114" s="10"/>
      <c r="B114" s="11"/>
      <c r="C114" s="11"/>
      <c r="D114" s="11"/>
      <c r="E114" s="11"/>
      <c r="F114" s="11"/>
      <c r="G114" s="11"/>
      <c r="H114" s="12"/>
    </row>
    <row r="115" ht="22.5" customHeight="1">
      <c r="A115" s="10"/>
      <c r="B115" s="11"/>
      <c r="C115" s="11"/>
      <c r="D115" s="11"/>
      <c r="E115" s="11"/>
      <c r="F115" s="11"/>
      <c r="G115" s="11"/>
      <c r="H115" s="12"/>
    </row>
    <row r="116" ht="22.5" customHeight="1">
      <c r="A116" s="10"/>
      <c r="B116" s="11"/>
      <c r="C116" s="11"/>
      <c r="D116" s="11"/>
      <c r="E116" s="11"/>
      <c r="F116" s="11"/>
      <c r="G116" s="11"/>
      <c r="H116" s="12"/>
    </row>
    <row r="117" ht="22.5" customHeight="1">
      <c r="A117" s="10"/>
      <c r="B117" s="11"/>
      <c r="C117" s="11"/>
      <c r="D117" s="11"/>
      <c r="E117" s="11"/>
      <c r="F117" s="11"/>
      <c r="G117" s="11"/>
      <c r="H117" s="12"/>
    </row>
    <row r="118" ht="22.5" customHeight="1">
      <c r="A118" s="10"/>
      <c r="B118" s="11"/>
      <c r="C118" s="11"/>
      <c r="D118" s="11"/>
      <c r="E118" s="11"/>
      <c r="F118" s="11"/>
      <c r="G118" s="11"/>
      <c r="H118" s="12"/>
    </row>
    <row r="119" ht="22.5" customHeight="1">
      <c r="A119" s="10"/>
      <c r="B119" s="11"/>
      <c r="C119" s="11"/>
      <c r="D119" s="11"/>
      <c r="E119" s="11"/>
      <c r="F119" s="11"/>
      <c r="G119" s="11"/>
      <c r="H119" s="12"/>
    </row>
    <row r="120" ht="22.5" customHeight="1">
      <c r="A120" s="10"/>
      <c r="B120" s="11"/>
      <c r="C120" s="11"/>
      <c r="D120" s="11"/>
      <c r="E120" s="11"/>
      <c r="F120" s="11"/>
      <c r="G120" s="11"/>
      <c r="H120" s="12"/>
    </row>
    <row r="121" ht="22.5" customHeight="1">
      <c r="A121" s="10"/>
      <c r="B121" s="11"/>
      <c r="C121" s="11"/>
      <c r="D121" s="11"/>
      <c r="E121" s="11"/>
      <c r="F121" s="11"/>
      <c r="G121" s="11"/>
      <c r="H121" s="12"/>
    </row>
    <row r="122" ht="22.5" customHeight="1">
      <c r="A122" s="10"/>
      <c r="B122" s="11"/>
      <c r="C122" s="11"/>
      <c r="D122" s="11"/>
      <c r="E122" s="11"/>
      <c r="F122" s="11"/>
      <c r="G122" s="11"/>
      <c r="H122" s="12"/>
    </row>
    <row r="123" ht="22.5" customHeight="1">
      <c r="A123" s="10"/>
      <c r="B123" s="11"/>
      <c r="C123" s="11"/>
      <c r="D123" s="11"/>
      <c r="E123" s="11"/>
      <c r="F123" s="11"/>
      <c r="G123" s="11"/>
      <c r="H123" s="12"/>
    </row>
    <row r="124" ht="22.5" customHeight="1">
      <c r="A124" s="10"/>
      <c r="B124" s="11"/>
      <c r="C124" s="11"/>
      <c r="D124" s="11"/>
      <c r="E124" s="11"/>
      <c r="F124" s="11"/>
      <c r="G124" s="11"/>
      <c r="H124" s="12"/>
    </row>
    <row r="125" ht="22.5" customHeight="1">
      <c r="A125" s="10"/>
      <c r="B125" s="11"/>
      <c r="C125" s="11"/>
      <c r="D125" s="11"/>
      <c r="E125" s="11"/>
      <c r="F125" s="11"/>
      <c r="G125" s="11"/>
      <c r="H125" s="12"/>
    </row>
    <row r="126" ht="22.5" customHeight="1">
      <c r="A126" s="10"/>
      <c r="B126" s="11"/>
      <c r="C126" s="11"/>
      <c r="D126" s="11"/>
      <c r="E126" s="11"/>
      <c r="F126" s="11"/>
      <c r="G126" s="11"/>
      <c r="H126" s="12"/>
    </row>
    <row r="127" ht="22.5" customHeight="1">
      <c r="A127" s="10"/>
      <c r="B127" s="11"/>
      <c r="C127" s="11"/>
      <c r="D127" s="11"/>
      <c r="E127" s="11"/>
      <c r="F127" s="11"/>
      <c r="G127" s="11"/>
      <c r="H127" s="12"/>
    </row>
    <row r="128" ht="22.5" customHeight="1">
      <c r="A128" s="28"/>
      <c r="B128" s="29"/>
      <c r="C128" s="29"/>
      <c r="D128" s="29"/>
      <c r="E128" s="29"/>
      <c r="F128" s="29"/>
      <c r="G128" s="29"/>
      <c r="H128" s="30"/>
    </row>
    <row r="129" ht="22.5" customHeight="1">
      <c r="A129" t="s" s="98">
        <v>185</v>
      </c>
      <c r="B129" s="58"/>
      <c r="C129" s="58"/>
      <c r="D129" s="58"/>
      <c r="E129" s="58"/>
      <c r="F129" s="58"/>
      <c r="G129" s="58"/>
      <c r="H129" s="59"/>
    </row>
    <row r="130" ht="22.5" customHeight="1">
      <c r="A130" t="s" s="99">
        <v>186</v>
      </c>
      <c r="B130" s="11"/>
      <c r="C130" s="11"/>
      <c r="D130" s="11"/>
      <c r="E130" s="11"/>
      <c r="F130" s="11"/>
      <c r="G130" s="11"/>
      <c r="H130" s="61"/>
    </row>
    <row r="131" ht="22.5" customHeight="1">
      <c r="A131" s="60"/>
      <c r="B131" s="11"/>
      <c r="C131" s="11"/>
      <c r="D131" s="11"/>
      <c r="E131" s="11"/>
      <c r="F131" s="11"/>
      <c r="G131" s="11"/>
      <c r="H131" s="61"/>
    </row>
    <row r="132" ht="22.5" customHeight="1">
      <c r="A132" s="60"/>
      <c r="B132" s="11"/>
      <c r="C132" s="11"/>
      <c r="D132" s="11"/>
      <c r="E132" s="11"/>
      <c r="F132" s="11"/>
      <c r="G132" s="11"/>
      <c r="H132" s="61"/>
    </row>
    <row r="133" ht="22.5" customHeight="1">
      <c r="A133" s="60"/>
      <c r="B133" s="11"/>
      <c r="C133" s="11"/>
      <c r="D133" s="11"/>
      <c r="E133" s="11"/>
      <c r="F133" s="11"/>
      <c r="G133" s="11"/>
      <c r="H133" s="61"/>
    </row>
    <row r="134" ht="22.5" customHeight="1">
      <c r="A134" s="60"/>
      <c r="B134" s="11"/>
      <c r="C134" s="11"/>
      <c r="D134" s="11"/>
      <c r="E134" s="11"/>
      <c r="F134" s="11"/>
      <c r="G134" s="11"/>
      <c r="H134" s="61"/>
    </row>
    <row r="135" ht="22.5" customHeight="1">
      <c r="A135" s="62"/>
      <c r="B135" s="29"/>
      <c r="C135" s="29"/>
      <c r="D135" s="29"/>
      <c r="E135" s="29"/>
      <c r="F135" s="29"/>
      <c r="G135" s="29"/>
      <c r="H135" s="63"/>
    </row>
    <row r="136" ht="22.5" customHeight="1">
      <c r="A136" s="74"/>
      <c r="B136" s="58"/>
      <c r="C136" s="58"/>
      <c r="D136" s="58"/>
      <c r="E136" s="58"/>
      <c r="F136" s="58"/>
      <c r="G136" s="58"/>
      <c r="H136" s="218"/>
    </row>
    <row r="137" ht="40.5" customHeight="1">
      <c r="A137" t="s" s="49">
        <v>187</v>
      </c>
      <c r="B137" s="11"/>
      <c r="C137" s="11"/>
      <c r="D137" s="11"/>
      <c r="E137" s="11"/>
      <c r="F137" s="11"/>
      <c r="G137" s="11"/>
      <c r="H137" s="12"/>
    </row>
    <row r="138" ht="22.5" customHeight="1">
      <c r="A138" s="50">
        <v>2020</v>
      </c>
      <c r="B138" s="51"/>
      <c r="C138" t="s" s="52">
        <v>152</v>
      </c>
      <c r="D138" s="11"/>
      <c r="E138" s="11"/>
      <c r="F138" s="11"/>
      <c r="G138" s="11"/>
      <c r="H138" s="12"/>
    </row>
    <row r="139" ht="22.5" customHeight="1">
      <c r="A139" t="s" s="65">
        <v>188</v>
      </c>
      <c r="B139" s="11"/>
      <c r="C139" s="209">
        <v>0.910056657223796</v>
      </c>
      <c r="D139" s="209"/>
      <c r="E139" t="s" s="52">
        <v>189</v>
      </c>
      <c r="F139" t="s" s="211">
        <v>155</v>
      </c>
      <c r="G139" t="s" s="52">
        <v>190</v>
      </c>
      <c r="H139" s="12"/>
    </row>
    <row r="140" ht="22.5" customHeight="1">
      <c r="A140" t="s" s="65">
        <v>191</v>
      </c>
      <c r="B140" s="11"/>
      <c r="C140" s="11"/>
      <c r="D140" s="11"/>
      <c r="E140" s="11"/>
      <c r="F140" s="11"/>
      <c r="G140" s="11"/>
      <c r="H140" s="12"/>
    </row>
    <row r="141" ht="22.5" customHeight="1">
      <c r="A141" s="10"/>
      <c r="B141" s="11"/>
      <c r="C141" s="209">
        <v>0.780821917808219</v>
      </c>
      <c r="D141" s="209"/>
      <c r="E141" t="s" s="52">
        <v>189</v>
      </c>
      <c r="F141" t="s" s="211">
        <v>155</v>
      </c>
      <c r="G141" t="s" s="52">
        <v>190</v>
      </c>
      <c r="H141" s="12"/>
    </row>
    <row r="142" ht="22.5" customHeight="1">
      <c r="A142" t="s" s="220">
        <v>192</v>
      </c>
      <c r="B142" s="221"/>
      <c r="C142" s="221"/>
      <c r="D142" s="221"/>
      <c r="E142" s="221"/>
      <c r="F142" s="221"/>
      <c r="G142" s="221"/>
      <c r="H142" s="222"/>
    </row>
    <row r="143" ht="22.5" customHeight="1">
      <c r="A143" s="10"/>
      <c r="B143" s="11"/>
      <c r="C143" s="11"/>
      <c r="D143" s="11"/>
      <c r="E143" s="11"/>
      <c r="F143" s="11"/>
      <c r="G143" s="11"/>
      <c r="H143" s="12"/>
    </row>
    <row r="144" ht="22.5" customHeight="1">
      <c r="A144" s="10"/>
      <c r="B144" s="11"/>
      <c r="C144" s="11"/>
      <c r="D144" s="11"/>
      <c r="E144" s="11"/>
      <c r="F144" s="11"/>
      <c r="G144" s="11"/>
      <c r="H144" s="12"/>
    </row>
    <row r="145" ht="22.5" customHeight="1">
      <c r="A145" s="10"/>
      <c r="B145" s="11"/>
      <c r="C145" s="11"/>
      <c r="D145" s="11"/>
      <c r="E145" s="11"/>
      <c r="F145" s="11"/>
      <c r="G145" s="11"/>
      <c r="H145" s="12"/>
    </row>
    <row r="146" ht="22.5" customHeight="1">
      <c r="A146" s="10"/>
      <c r="B146" s="11"/>
      <c r="C146" s="11"/>
      <c r="D146" s="11"/>
      <c r="E146" s="11"/>
      <c r="F146" s="11"/>
      <c r="G146" s="11"/>
      <c r="H146" s="12"/>
    </row>
    <row r="147" ht="22.5" customHeight="1">
      <c r="A147" s="10"/>
      <c r="B147" s="11"/>
      <c r="C147" s="11"/>
      <c r="D147" s="11"/>
      <c r="E147" s="11"/>
      <c r="F147" s="11"/>
      <c r="G147" s="11"/>
      <c r="H147" s="12"/>
    </row>
    <row r="148" ht="22.5" customHeight="1">
      <c r="A148" s="10"/>
      <c r="B148" s="11"/>
      <c r="C148" s="11"/>
      <c r="D148" s="11"/>
      <c r="E148" s="11"/>
      <c r="F148" s="11"/>
      <c r="G148" s="11"/>
      <c r="H148" s="12"/>
    </row>
    <row r="149" ht="22.5" customHeight="1">
      <c r="A149" s="10"/>
      <c r="B149" s="11"/>
      <c r="C149" s="11"/>
      <c r="D149" s="11"/>
      <c r="E149" s="11"/>
      <c r="F149" s="11"/>
      <c r="G149" s="11"/>
      <c r="H149" s="12"/>
    </row>
    <row r="150" ht="22.5" customHeight="1">
      <c r="A150" s="10"/>
      <c r="B150" s="11"/>
      <c r="C150" s="11"/>
      <c r="D150" s="11"/>
      <c r="E150" s="11"/>
      <c r="F150" s="11"/>
      <c r="G150" s="11"/>
      <c r="H150" s="12"/>
    </row>
    <row r="151" ht="22.5" customHeight="1">
      <c r="A151" s="10"/>
      <c r="B151" s="11"/>
      <c r="C151" s="11"/>
      <c r="D151" s="11"/>
      <c r="E151" s="11"/>
      <c r="F151" s="11"/>
      <c r="G151" s="11"/>
      <c r="H151" s="12"/>
    </row>
    <row r="152" ht="22.5" customHeight="1">
      <c r="A152" s="10"/>
      <c r="B152" s="11"/>
      <c r="C152" s="11"/>
      <c r="D152" s="11"/>
      <c r="E152" s="11"/>
      <c r="F152" s="11"/>
      <c r="G152" s="11"/>
      <c r="H152" s="12"/>
    </row>
    <row r="153" ht="22.5" customHeight="1">
      <c r="A153" s="10"/>
      <c r="B153" s="11"/>
      <c r="C153" s="11"/>
      <c r="D153" s="11"/>
      <c r="E153" s="11"/>
      <c r="F153" s="11"/>
      <c r="G153" s="11"/>
      <c r="H153" s="12"/>
    </row>
    <row r="154" ht="22.5" customHeight="1">
      <c r="A154" s="10"/>
      <c r="B154" s="11"/>
      <c r="C154" s="11"/>
      <c r="D154" s="11"/>
      <c r="E154" s="11"/>
      <c r="F154" s="11"/>
      <c r="G154" s="11"/>
      <c r="H154" s="12"/>
    </row>
    <row r="155" ht="22.5" customHeight="1">
      <c r="A155" s="10"/>
      <c r="B155" s="11"/>
      <c r="C155" s="11"/>
      <c r="D155" s="11"/>
      <c r="E155" s="11"/>
      <c r="F155" s="11"/>
      <c r="G155" s="11"/>
      <c r="H155" s="12"/>
    </row>
    <row r="156" ht="22.5" customHeight="1">
      <c r="A156" s="10"/>
      <c r="B156" s="11"/>
      <c r="C156" s="11"/>
      <c r="D156" s="11"/>
      <c r="E156" s="11"/>
      <c r="F156" s="11"/>
      <c r="G156" s="11"/>
      <c r="H156" s="12"/>
    </row>
    <row r="157" ht="22.5" customHeight="1">
      <c r="A157" s="10"/>
      <c r="B157" s="11"/>
      <c r="C157" s="11"/>
      <c r="D157" s="11"/>
      <c r="E157" s="11"/>
      <c r="F157" s="11"/>
      <c r="G157" s="11"/>
      <c r="H157" s="12"/>
    </row>
    <row r="158" ht="22.5" customHeight="1">
      <c r="A158" s="10"/>
      <c r="B158" s="11"/>
      <c r="C158" s="11"/>
      <c r="D158" s="11"/>
      <c r="E158" s="11"/>
      <c r="F158" s="11"/>
      <c r="G158" s="11"/>
      <c r="H158" s="12"/>
    </row>
    <row r="159" ht="22.5" customHeight="1">
      <c r="A159" s="10"/>
      <c r="B159" s="11"/>
      <c r="C159" s="11"/>
      <c r="D159" s="11"/>
      <c r="E159" s="11"/>
      <c r="F159" s="11"/>
      <c r="G159" s="11"/>
      <c r="H159" s="12"/>
    </row>
    <row r="160" ht="22.5" customHeight="1">
      <c r="A160" s="28"/>
      <c r="B160" s="29"/>
      <c r="C160" s="29"/>
      <c r="D160" s="29"/>
      <c r="E160" s="29"/>
      <c r="F160" s="29"/>
      <c r="G160" s="29"/>
      <c r="H160" s="30"/>
    </row>
    <row r="161" ht="22.5" customHeight="1">
      <c r="A161" t="s" s="98">
        <v>193</v>
      </c>
      <c r="B161" s="58"/>
      <c r="C161" s="58"/>
      <c r="D161" s="58"/>
      <c r="E161" s="58"/>
      <c r="F161" s="58"/>
      <c r="G161" s="58"/>
      <c r="H161" s="59"/>
    </row>
    <row r="162" ht="22.5" customHeight="1">
      <c r="A162" t="s" s="99">
        <v>194</v>
      </c>
      <c r="B162" s="11"/>
      <c r="C162" s="11"/>
      <c r="D162" s="11"/>
      <c r="E162" s="11"/>
      <c r="F162" s="11"/>
      <c r="G162" s="11"/>
      <c r="H162" s="61"/>
    </row>
    <row r="163" ht="22.5" customHeight="1">
      <c r="A163" t="s" s="99">
        <v>195</v>
      </c>
      <c r="B163" s="11"/>
      <c r="C163" s="11"/>
      <c r="D163" s="11"/>
      <c r="E163" s="11"/>
      <c r="F163" s="11"/>
      <c r="G163" s="11"/>
      <c r="H163" s="61"/>
    </row>
    <row r="164" ht="22.5" customHeight="1">
      <c r="A164" s="60"/>
      <c r="B164" s="11"/>
      <c r="C164" s="11"/>
      <c r="D164" s="11"/>
      <c r="E164" s="11"/>
      <c r="F164" s="11"/>
      <c r="G164" s="11"/>
      <c r="H164" s="61"/>
    </row>
    <row r="165" ht="22.5" customHeight="1">
      <c r="A165" s="60"/>
      <c r="B165" s="11"/>
      <c r="C165" s="11"/>
      <c r="D165" s="11"/>
      <c r="E165" s="11"/>
      <c r="F165" s="11"/>
      <c r="G165" s="11"/>
      <c r="H165" s="61"/>
    </row>
    <row r="166" ht="22.5" customHeight="1">
      <c r="A166" s="60"/>
      <c r="B166" s="11"/>
      <c r="C166" s="11"/>
      <c r="D166" s="11"/>
      <c r="E166" s="11"/>
      <c r="F166" s="11"/>
      <c r="G166" s="11"/>
      <c r="H166" s="61"/>
    </row>
    <row r="167" ht="22.5" customHeight="1">
      <c r="A167" s="60"/>
      <c r="B167" s="11"/>
      <c r="C167" s="11"/>
      <c r="D167" s="11"/>
      <c r="E167" s="11"/>
      <c r="F167" s="11"/>
      <c r="G167" s="11"/>
      <c r="H167" s="61"/>
    </row>
    <row r="168" ht="22.5" customHeight="1">
      <c r="A168" s="60"/>
      <c r="B168" s="11"/>
      <c r="C168" s="11"/>
      <c r="D168" s="11"/>
      <c r="E168" s="11"/>
      <c r="F168" s="11"/>
      <c r="G168" s="11"/>
      <c r="H168" s="61"/>
    </row>
    <row r="169" ht="22.5" customHeight="1">
      <c r="A169" s="60"/>
      <c r="B169" s="11"/>
      <c r="C169" s="11"/>
      <c r="D169" s="11"/>
      <c r="E169" s="11"/>
      <c r="F169" s="11"/>
      <c r="G169" s="11"/>
      <c r="H169" s="61"/>
    </row>
    <row r="170" ht="22.5" customHeight="1">
      <c r="A170" s="62"/>
      <c r="B170" s="29"/>
      <c r="C170" s="29"/>
      <c r="D170" s="29"/>
      <c r="E170" s="29"/>
      <c r="F170" s="29"/>
      <c r="G170" s="29"/>
      <c r="H170" s="63"/>
    </row>
  </sheetData>
  <mergeCells count="21">
    <mergeCell ref="F7:G7"/>
    <mergeCell ref="A1:C2"/>
    <mergeCell ref="D1:H2"/>
    <mergeCell ref="A6:B6"/>
    <mergeCell ref="E73:F73"/>
    <mergeCell ref="F71:G71"/>
    <mergeCell ref="F72:G72"/>
    <mergeCell ref="A36:B36"/>
    <mergeCell ref="F37:G37"/>
    <mergeCell ref="E70:F70"/>
    <mergeCell ref="A11:B11"/>
    <mergeCell ref="C11:D11"/>
    <mergeCell ref="A12:B12"/>
    <mergeCell ref="C12:D12"/>
    <mergeCell ref="A13:B13"/>
    <mergeCell ref="C13:D13"/>
    <mergeCell ref="A138:B138"/>
    <mergeCell ref="C139:D139"/>
    <mergeCell ref="C141:D141"/>
    <mergeCell ref="A142:H142"/>
    <mergeCell ref="A104:B104"/>
  </mergeCells>
  <conditionalFormatting sqref="C11:C13 E70:F70">
    <cfRule type="cellIs" dxfId="3" priority="1" operator="lessThan" stopIfTrue="1">
      <formula>0</formula>
    </cfRule>
  </conditionalFormatting>
  <pageMargins left="0.708661" right="0.708661" top="0.748031" bottom="0.748031" header="0.314961" footer="0.314961"/>
  <pageSetup firstPageNumber="1" fitToHeight="1" fitToWidth="1" scale="90" useFirstPageNumber="0" orientation="portrait" pageOrder="downThenOver"/>
  <headerFooter>
    <oddHeader>&amp;L&amp;"HG丸ｺﾞｼｯｸM-PRO,Regular"&amp;16&amp;K000000地域特徴シート】</oddHeader>
    <oddFooter>&amp;C&amp;"ヒラギノ角ゴ ProN W3,Regular"&amp;12&amp;K000000&amp;P</oddFooter>
  </headerFooter>
  <drawing r:id="rId1"/>
</worksheet>
</file>

<file path=xl/worksheets/sheet7.xml><?xml version="1.0" encoding="utf-8"?>
<worksheet xmlns:r="http://schemas.openxmlformats.org/officeDocument/2006/relationships" xmlns="http://schemas.openxmlformats.org/spreadsheetml/2006/main">
  <dimension ref="A1:H34"/>
  <sheetViews>
    <sheetView workbookViewId="0" showGridLines="0" defaultGridColor="1"/>
  </sheetViews>
  <sheetFormatPr defaultColWidth="9" defaultRowHeight="22.5" customHeight="1" outlineLevelRow="0" outlineLevelCol="0"/>
  <cols>
    <col min="1" max="1" width="11.5781" style="223" customWidth="1"/>
    <col min="2" max="5" width="10" style="223" customWidth="1"/>
    <col min="6" max="6" width="10.7344" style="223" customWidth="1"/>
    <col min="7" max="7" width="12.2891" style="223" customWidth="1"/>
    <col min="8" max="8" width="14.5781" style="223" customWidth="1"/>
    <col min="9" max="256" width="9" style="223" customWidth="1"/>
  </cols>
  <sheetData>
    <row r="1" ht="22.5" customHeight="1">
      <c r="A1" t="s" s="224">
        <v>196</v>
      </c>
      <c r="B1" s="225"/>
      <c r="C1" s="225"/>
      <c r="D1" s="8"/>
      <c r="E1" s="8"/>
      <c r="F1" s="8"/>
      <c r="G1" s="8"/>
      <c r="H1" s="9"/>
    </row>
    <row r="2" ht="22.5" customHeight="1">
      <c r="A2" s="226"/>
      <c r="B2" s="227"/>
      <c r="C2" s="227"/>
      <c r="D2" s="11"/>
      <c r="E2" s="11"/>
      <c r="F2" s="11"/>
      <c r="G2" s="11"/>
      <c r="H2" s="12"/>
    </row>
    <row r="3" ht="22.5" customHeight="1">
      <c r="A3" t="s" s="65">
        <v>197</v>
      </c>
      <c r="B3" s="11"/>
      <c r="C3" s="11"/>
      <c r="D3" s="11"/>
      <c r="E3" s="11"/>
      <c r="F3" s="11"/>
      <c r="G3" s="11"/>
      <c r="H3" s="12"/>
    </row>
    <row r="4" ht="22.5" customHeight="1">
      <c r="A4" t="s" s="65">
        <v>198</v>
      </c>
      <c r="B4" s="11"/>
      <c r="C4" s="11"/>
      <c r="D4" s="11"/>
      <c r="E4" s="11"/>
      <c r="F4" s="11"/>
      <c r="G4" s="11"/>
      <c r="H4" s="12"/>
    </row>
    <row r="5" ht="23.25" customHeight="1">
      <c r="A5" t="s" s="228">
        <v>199</v>
      </c>
      <c r="B5" s="29"/>
      <c r="C5" s="29"/>
      <c r="D5" s="29"/>
      <c r="E5" s="29"/>
      <c r="F5" s="29"/>
      <c r="G5" s="29"/>
      <c r="H5" s="30"/>
    </row>
    <row r="6" ht="22.5" customHeight="1">
      <c r="A6" s="229"/>
      <c r="B6" s="230"/>
      <c r="C6" s="58"/>
      <c r="D6" s="58"/>
      <c r="E6" s="58"/>
      <c r="F6" s="58"/>
      <c r="G6" s="58"/>
      <c r="H6" s="59"/>
    </row>
    <row r="7" ht="22.5" customHeight="1">
      <c r="A7" s="60"/>
      <c r="B7" s="11"/>
      <c r="C7" s="11"/>
      <c r="D7" s="11"/>
      <c r="E7" s="11"/>
      <c r="F7" s="219"/>
      <c r="G7" s="219"/>
      <c r="H7" s="61"/>
    </row>
    <row r="8" ht="22.5" customHeight="1">
      <c r="A8" s="231"/>
      <c r="B8" s="11"/>
      <c r="C8" s="11"/>
      <c r="D8" s="67"/>
      <c r="E8" s="11"/>
      <c r="F8" s="11"/>
      <c r="G8" s="11"/>
      <c r="H8" s="61"/>
    </row>
    <row r="9" ht="22.5" customHeight="1">
      <c r="A9" s="60"/>
      <c r="B9" s="11"/>
      <c r="C9" s="11"/>
      <c r="D9" s="66"/>
      <c r="E9" s="11"/>
      <c r="F9" s="11"/>
      <c r="G9" s="11"/>
      <c r="H9" s="61"/>
    </row>
    <row r="10" ht="22.5" customHeight="1">
      <c r="A10" s="60"/>
      <c r="B10" s="11"/>
      <c r="C10" s="11"/>
      <c r="D10" s="11"/>
      <c r="E10" s="11"/>
      <c r="F10" s="11"/>
      <c r="G10" s="11"/>
      <c r="H10" s="61"/>
    </row>
    <row r="11" ht="22.5" customHeight="1">
      <c r="A11" s="60"/>
      <c r="B11" s="11"/>
      <c r="C11" s="11"/>
      <c r="D11" s="11"/>
      <c r="E11" s="11"/>
      <c r="F11" s="11"/>
      <c r="G11" s="11"/>
      <c r="H11" s="61"/>
    </row>
    <row r="12" ht="22.5" customHeight="1">
      <c r="A12" s="60"/>
      <c r="B12" s="11"/>
      <c r="C12" s="11"/>
      <c r="D12" s="11"/>
      <c r="E12" s="11"/>
      <c r="F12" s="11"/>
      <c r="G12" s="11"/>
      <c r="H12" s="61"/>
    </row>
    <row r="13" ht="22.5" customHeight="1">
      <c r="A13" s="60"/>
      <c r="B13" s="11"/>
      <c r="C13" s="11"/>
      <c r="D13" s="11"/>
      <c r="E13" s="11"/>
      <c r="F13" s="11"/>
      <c r="G13" s="11"/>
      <c r="H13" s="61"/>
    </row>
    <row r="14" ht="22.5" customHeight="1">
      <c r="A14" s="60"/>
      <c r="B14" s="11"/>
      <c r="C14" s="11"/>
      <c r="D14" s="11"/>
      <c r="E14" s="11"/>
      <c r="F14" s="11"/>
      <c r="G14" s="11"/>
      <c r="H14" s="61"/>
    </row>
    <row r="15" ht="22.5" customHeight="1">
      <c r="A15" s="60"/>
      <c r="B15" s="11"/>
      <c r="C15" s="11"/>
      <c r="D15" s="11"/>
      <c r="E15" s="11"/>
      <c r="F15" s="11"/>
      <c r="G15" s="11"/>
      <c r="H15" s="61"/>
    </row>
    <row r="16" ht="22.5" customHeight="1">
      <c r="A16" s="60"/>
      <c r="B16" s="11"/>
      <c r="C16" s="11"/>
      <c r="D16" s="11"/>
      <c r="E16" s="11"/>
      <c r="F16" s="11"/>
      <c r="G16" s="11"/>
      <c r="H16" s="61"/>
    </row>
    <row r="17" ht="22.5" customHeight="1">
      <c r="A17" s="62"/>
      <c r="B17" s="29"/>
      <c r="C17" s="29"/>
      <c r="D17" s="29"/>
      <c r="E17" s="29"/>
      <c r="F17" s="29"/>
      <c r="G17" s="29"/>
      <c r="H17" s="63"/>
    </row>
    <row r="18" ht="22.5" customHeight="1">
      <c r="A18" s="74"/>
      <c r="B18" s="58"/>
      <c r="C18" s="58"/>
      <c r="D18" s="58"/>
      <c r="E18" s="58"/>
      <c r="F18" s="58"/>
      <c r="G18" s="58"/>
      <c r="H18" s="218"/>
    </row>
    <row r="19" ht="22.5" customHeight="1">
      <c r="A19" t="s" s="65">
        <v>200</v>
      </c>
      <c r="B19" s="11"/>
      <c r="C19" s="11"/>
      <c r="D19" s="11"/>
      <c r="E19" s="11"/>
      <c r="F19" s="11"/>
      <c r="G19" s="11"/>
      <c r="H19" s="12"/>
    </row>
    <row r="20" ht="22.5" customHeight="1">
      <c r="A20" t="s" s="232">
        <v>201</v>
      </c>
      <c r="B20" s="29"/>
      <c r="C20" s="29"/>
      <c r="D20" s="29"/>
      <c r="E20" s="29"/>
      <c r="F20" s="29"/>
      <c r="G20" s="233"/>
      <c r="H20" s="234"/>
    </row>
    <row r="21" ht="22.5" customHeight="1">
      <c r="A21" s="229"/>
      <c r="B21" s="58"/>
      <c r="C21" s="58"/>
      <c r="D21" s="235"/>
      <c r="E21" s="58"/>
      <c r="F21" s="58"/>
      <c r="G21" s="58"/>
      <c r="H21" s="59"/>
    </row>
    <row r="22" ht="22.5" customHeight="1">
      <c r="A22" s="60"/>
      <c r="B22" s="11"/>
      <c r="C22" s="11"/>
      <c r="D22" s="66"/>
      <c r="E22" s="11"/>
      <c r="F22" s="11"/>
      <c r="G22" s="11"/>
      <c r="H22" s="61"/>
    </row>
    <row r="23" ht="22.5" customHeight="1">
      <c r="A23" s="60"/>
      <c r="B23" s="11"/>
      <c r="C23" s="11"/>
      <c r="D23" s="11"/>
      <c r="E23" s="11"/>
      <c r="F23" s="11"/>
      <c r="G23" s="11"/>
      <c r="H23" s="61"/>
    </row>
    <row r="24" ht="22.5" customHeight="1">
      <c r="A24" s="60"/>
      <c r="B24" s="11"/>
      <c r="C24" s="11"/>
      <c r="D24" s="11"/>
      <c r="E24" s="11"/>
      <c r="F24" s="11"/>
      <c r="G24" s="11"/>
      <c r="H24" s="61"/>
    </row>
    <row r="25" ht="22.5" customHeight="1">
      <c r="A25" s="60"/>
      <c r="B25" s="11"/>
      <c r="C25" s="11"/>
      <c r="D25" s="11"/>
      <c r="E25" s="11"/>
      <c r="F25" s="11"/>
      <c r="G25" s="11"/>
      <c r="H25" s="61"/>
    </row>
    <row r="26" ht="22.5" customHeight="1">
      <c r="A26" s="60"/>
      <c r="B26" s="11"/>
      <c r="C26" s="11"/>
      <c r="D26" s="11"/>
      <c r="E26" s="11"/>
      <c r="F26" s="11"/>
      <c r="G26" s="11"/>
      <c r="H26" s="61"/>
    </row>
    <row r="27" ht="22.5" customHeight="1">
      <c r="A27" s="60"/>
      <c r="B27" s="11"/>
      <c r="C27" s="11"/>
      <c r="D27" s="11"/>
      <c r="E27" s="11"/>
      <c r="F27" s="11"/>
      <c r="G27" s="11"/>
      <c r="H27" s="61"/>
    </row>
    <row r="28" ht="22.5" customHeight="1">
      <c r="A28" s="60"/>
      <c r="B28" s="11"/>
      <c r="C28" s="11"/>
      <c r="D28" s="11"/>
      <c r="E28" s="11"/>
      <c r="F28" s="11"/>
      <c r="G28" s="11"/>
      <c r="H28" s="61"/>
    </row>
    <row r="29" ht="22.5" customHeight="1">
      <c r="A29" s="60"/>
      <c r="B29" s="11"/>
      <c r="C29" s="11"/>
      <c r="D29" s="11"/>
      <c r="E29" s="11"/>
      <c r="F29" s="11"/>
      <c r="G29" s="11"/>
      <c r="H29" s="61"/>
    </row>
    <row r="30" ht="22.5" customHeight="1">
      <c r="A30" s="60"/>
      <c r="B30" s="11"/>
      <c r="C30" s="11"/>
      <c r="D30" s="11"/>
      <c r="E30" s="11"/>
      <c r="F30" s="11"/>
      <c r="G30" s="11"/>
      <c r="H30" s="61"/>
    </row>
    <row r="31" ht="22.5" customHeight="1">
      <c r="A31" s="60"/>
      <c r="B31" s="11"/>
      <c r="C31" s="11"/>
      <c r="D31" s="11"/>
      <c r="E31" s="11"/>
      <c r="F31" s="11"/>
      <c r="G31" s="11"/>
      <c r="H31" s="61"/>
    </row>
    <row r="32" ht="22.5" customHeight="1">
      <c r="A32" s="60"/>
      <c r="B32" s="11"/>
      <c r="C32" s="11"/>
      <c r="D32" s="11"/>
      <c r="E32" s="11"/>
      <c r="F32" s="11"/>
      <c r="G32" s="11"/>
      <c r="H32" s="61"/>
    </row>
    <row r="33" ht="22.5" customHeight="1">
      <c r="A33" s="60"/>
      <c r="B33" s="11"/>
      <c r="C33" s="11"/>
      <c r="D33" s="11"/>
      <c r="E33" s="11"/>
      <c r="F33" s="11"/>
      <c r="G33" s="11"/>
      <c r="H33" s="61"/>
    </row>
    <row r="34" ht="22.5" customHeight="1">
      <c r="A34" s="62"/>
      <c r="B34" s="29"/>
      <c r="C34" s="29"/>
      <c r="D34" s="29"/>
      <c r="E34" s="29"/>
      <c r="F34" s="29"/>
      <c r="G34" s="29"/>
      <c r="H34" s="63"/>
    </row>
  </sheetData>
  <pageMargins left="0.708661" right="0.708661" top="0.748031" bottom="0.748031" header="0.314961" footer="0.314961"/>
  <pageSetup firstPageNumber="1" fitToHeight="1" fitToWidth="1" scale="90" useFirstPageNumber="0" orientation="portrait" pageOrder="downThenOver"/>
  <headerFooter>
    <oddHeader>&amp;L&amp;"HG丸ｺﾞｼｯｸM-PRO,Regular"&amp;16&amp;K000000おわりに】</oddHeader>
    <oddFooter>&amp;C&amp;"ヒラギノ角ゴ ProN W3,Regular"&amp;12&amp;K000000&amp;P</oddFooter>
  </headerFooter>
  <drawing r:id="rId1"/>
</worksheet>
</file>

<file path=xl/worksheets/sheet8.xml><?xml version="1.0" encoding="utf-8"?>
<worksheet xmlns:r="http://schemas.openxmlformats.org/officeDocument/2006/relationships" xmlns="http://schemas.openxmlformats.org/spreadsheetml/2006/main">
  <dimension ref="A1:E39"/>
  <sheetViews>
    <sheetView workbookViewId="0" showGridLines="0" defaultGridColor="1"/>
  </sheetViews>
  <sheetFormatPr defaultColWidth="9" defaultRowHeight="13.5" customHeight="1" outlineLevelRow="0" outlineLevelCol="0"/>
  <cols>
    <col min="1" max="1" width="19.8672" style="236" customWidth="1"/>
    <col min="2" max="2" width="16.2891" style="236" customWidth="1"/>
    <col min="3" max="5" width="9" style="236" customWidth="1"/>
    <col min="6" max="256" width="9" style="236" customWidth="1"/>
  </cols>
  <sheetData>
    <row r="1" ht="16" customHeight="1">
      <c r="A1" t="s" s="237">
        <v>203</v>
      </c>
      <c r="B1" t="s" s="237">
        <v>204</v>
      </c>
      <c r="C1" s="238"/>
      <c r="D1" s="8"/>
      <c r="E1" s="9"/>
    </row>
    <row r="2" ht="16" customHeight="1">
      <c r="A2" t="s" s="239">
        <v>205</v>
      </c>
      <c r="B2" t="s" s="240">
        <v>206</v>
      </c>
      <c r="C2" s="130"/>
      <c r="D2" s="11"/>
      <c r="E2" s="12"/>
    </row>
    <row r="3" ht="16" customHeight="1">
      <c r="A3" t="s" s="241">
        <v>207</v>
      </c>
      <c r="B3" t="s" s="242">
        <v>155</v>
      </c>
      <c r="C3" s="130"/>
      <c r="D3" s="11"/>
      <c r="E3" s="12"/>
    </row>
    <row r="4" ht="16" customHeight="1">
      <c r="A4" t="s" s="243">
        <v>208</v>
      </c>
      <c r="B4" t="s" s="242">
        <v>8</v>
      </c>
      <c r="C4" s="130"/>
      <c r="D4" s="11"/>
      <c r="E4" s="12"/>
    </row>
    <row r="5" ht="16" customHeight="1">
      <c r="A5" t="s" s="243">
        <v>209</v>
      </c>
      <c r="B5" s="244">
        <v>2020</v>
      </c>
      <c r="C5" s="130"/>
      <c r="D5" s="11"/>
      <c r="E5" s="12"/>
    </row>
    <row r="6" ht="16" customHeight="1">
      <c r="A6" t="s" s="243">
        <v>210</v>
      </c>
      <c r="B6" s="244">
        <f>B5-5</f>
        <v>2015</v>
      </c>
      <c r="C6" s="130"/>
      <c r="D6" s="11"/>
      <c r="E6" s="12"/>
    </row>
    <row r="7" ht="16" customHeight="1">
      <c r="A7" t="s" s="243">
        <v>211</v>
      </c>
      <c r="B7" s="244">
        <f>B5-10</f>
        <v>2010</v>
      </c>
      <c r="C7" s="130"/>
      <c r="D7" s="11"/>
      <c r="E7" s="12"/>
    </row>
    <row r="8" ht="16" customHeight="1">
      <c r="A8" t="s" s="243">
        <v>212</v>
      </c>
      <c r="B8" s="244">
        <f>B5+5</f>
        <v>2025</v>
      </c>
      <c r="C8" t="s" s="245">
        <v>213</v>
      </c>
      <c r="D8" s="11"/>
      <c r="E8" s="12"/>
    </row>
    <row r="9" ht="16" customHeight="1">
      <c r="A9" t="s" s="243">
        <v>214</v>
      </c>
      <c r="B9" s="244">
        <f>B5+10</f>
        <v>2030</v>
      </c>
      <c r="C9" t="s" s="245">
        <v>215</v>
      </c>
      <c r="D9" s="11"/>
      <c r="E9" s="12"/>
    </row>
    <row r="10" ht="16" customHeight="1">
      <c r="A10" t="s" s="243">
        <v>216</v>
      </c>
      <c r="B10" s="244">
        <f>B5+15</f>
        <v>2035</v>
      </c>
      <c r="C10" t="s" s="245">
        <v>217</v>
      </c>
      <c r="D10" s="11"/>
      <c r="E10" s="12"/>
    </row>
    <row r="11" ht="16" customHeight="1">
      <c r="A11" t="s" s="243">
        <v>218</v>
      </c>
      <c r="B11" s="244">
        <f>B5+20</f>
        <v>2040</v>
      </c>
      <c r="C11" t="s" s="245">
        <v>219</v>
      </c>
      <c r="D11" s="11"/>
      <c r="E11" s="12"/>
    </row>
    <row r="12" ht="16" customHeight="1">
      <c r="A12" t="s" s="243">
        <v>220</v>
      </c>
      <c r="B12" s="244">
        <f>B5+25</f>
        <v>2045</v>
      </c>
      <c r="C12" t="s" s="245">
        <v>221</v>
      </c>
      <c r="D12" s="11"/>
      <c r="E12" s="12"/>
    </row>
    <row r="13" ht="16" customHeight="1">
      <c r="A13" t="s" s="243">
        <v>222</v>
      </c>
      <c r="B13" s="244">
        <f>B5+30</f>
        <v>2050</v>
      </c>
      <c r="C13" t="s" s="245">
        <v>223</v>
      </c>
      <c r="D13" s="11"/>
      <c r="E13" s="12"/>
    </row>
    <row r="14" ht="16" customHeight="1">
      <c r="A14" t="s" s="243">
        <v>224</v>
      </c>
      <c r="B14" s="244">
        <v>2</v>
      </c>
      <c r="C14" t="s" s="245">
        <v>225</v>
      </c>
      <c r="D14" s="11"/>
      <c r="E14" s="12"/>
    </row>
    <row r="15" ht="16" customHeight="1">
      <c r="A15" s="246"/>
      <c r="B15" s="247"/>
      <c r="C15" s="130"/>
      <c r="D15" s="11"/>
      <c r="E15" s="12"/>
    </row>
    <row r="16" ht="16" customHeight="1">
      <c r="A16" s="246"/>
      <c r="B16" s="247"/>
      <c r="C16" s="130"/>
      <c r="D16" s="11"/>
      <c r="E16" s="12"/>
    </row>
    <row r="17" ht="16" customHeight="1">
      <c r="A17" s="246"/>
      <c r="B17" s="247"/>
      <c r="C17" s="130"/>
      <c r="D17" s="11"/>
      <c r="E17" s="12"/>
    </row>
    <row r="18" ht="16" customHeight="1">
      <c r="A18" s="246"/>
      <c r="B18" s="247"/>
      <c r="C18" s="130"/>
      <c r="D18" s="11"/>
      <c r="E18" s="12"/>
    </row>
    <row r="19" ht="16" customHeight="1">
      <c r="A19" s="246"/>
      <c r="B19" s="247"/>
      <c r="C19" s="130"/>
      <c r="D19" s="11"/>
      <c r="E19" s="12"/>
    </row>
    <row r="20" ht="16" customHeight="1">
      <c r="A20" s="246"/>
      <c r="B20" s="247"/>
      <c r="C20" s="130"/>
      <c r="D20" s="11"/>
      <c r="E20" s="12"/>
    </row>
    <row r="21" ht="16" customHeight="1">
      <c r="A21" s="246"/>
      <c r="B21" s="247"/>
      <c r="C21" s="130"/>
      <c r="D21" s="11"/>
      <c r="E21" s="12"/>
    </row>
    <row r="22" ht="16" customHeight="1">
      <c r="A22" s="246"/>
      <c r="B22" s="247"/>
      <c r="C22" s="130"/>
      <c r="D22" s="11"/>
      <c r="E22" s="12"/>
    </row>
    <row r="23" ht="16" customHeight="1">
      <c r="A23" s="246"/>
      <c r="B23" s="247"/>
      <c r="C23" s="130"/>
      <c r="D23" s="11"/>
      <c r="E23" s="12"/>
    </row>
    <row r="24" ht="16" customHeight="1">
      <c r="A24" s="246"/>
      <c r="B24" s="247"/>
      <c r="C24" s="130"/>
      <c r="D24" s="11"/>
      <c r="E24" s="12"/>
    </row>
    <row r="25" ht="16" customHeight="1">
      <c r="A25" s="246"/>
      <c r="B25" s="247"/>
      <c r="C25" s="130"/>
      <c r="D25" s="11"/>
      <c r="E25" s="12"/>
    </row>
    <row r="26" ht="16" customHeight="1">
      <c r="A26" s="246"/>
      <c r="B26" s="247"/>
      <c r="C26" s="130"/>
      <c r="D26" s="11"/>
      <c r="E26" s="12"/>
    </row>
    <row r="27" ht="16" customHeight="1">
      <c r="A27" s="246"/>
      <c r="B27" s="247"/>
      <c r="C27" s="130"/>
      <c r="D27" s="11"/>
      <c r="E27" s="12"/>
    </row>
    <row r="28" ht="16" customHeight="1">
      <c r="A28" s="246"/>
      <c r="B28" s="247"/>
      <c r="C28" s="130"/>
      <c r="D28" s="11"/>
      <c r="E28" s="12"/>
    </row>
    <row r="29" ht="16" customHeight="1">
      <c r="A29" s="246"/>
      <c r="B29" s="247"/>
      <c r="C29" s="130"/>
      <c r="D29" s="11"/>
      <c r="E29" s="12"/>
    </row>
    <row r="30" ht="16" customHeight="1">
      <c r="A30" s="246"/>
      <c r="B30" s="247"/>
      <c r="C30" s="130"/>
      <c r="D30" s="11"/>
      <c r="E30" s="12"/>
    </row>
    <row r="31" ht="16" customHeight="1">
      <c r="A31" s="246"/>
      <c r="B31" s="247"/>
      <c r="C31" s="130"/>
      <c r="D31" s="11"/>
      <c r="E31" s="12"/>
    </row>
    <row r="32" ht="16" customHeight="1">
      <c r="A32" s="246"/>
      <c r="B32" s="247"/>
      <c r="C32" s="130"/>
      <c r="D32" s="11"/>
      <c r="E32" s="12"/>
    </row>
    <row r="33" ht="16" customHeight="1">
      <c r="A33" s="246"/>
      <c r="B33" s="247"/>
      <c r="C33" s="130"/>
      <c r="D33" s="11"/>
      <c r="E33" s="12"/>
    </row>
    <row r="34" ht="16" customHeight="1">
      <c r="A34" s="246"/>
      <c r="B34" s="247"/>
      <c r="C34" s="130"/>
      <c r="D34" s="11"/>
      <c r="E34" s="12"/>
    </row>
    <row r="35" ht="16" customHeight="1">
      <c r="A35" s="246"/>
      <c r="B35" s="247"/>
      <c r="C35" s="130"/>
      <c r="D35" s="11"/>
      <c r="E35" s="12"/>
    </row>
    <row r="36" ht="16" customHeight="1">
      <c r="A36" s="246"/>
      <c r="B36" s="247"/>
      <c r="C36" s="130"/>
      <c r="D36" s="11"/>
      <c r="E36" s="12"/>
    </row>
    <row r="37" ht="16" customHeight="1">
      <c r="A37" s="246"/>
      <c r="B37" s="247"/>
      <c r="C37" s="130"/>
      <c r="D37" s="11"/>
      <c r="E37" s="12"/>
    </row>
    <row r="38" ht="16" customHeight="1">
      <c r="A38" s="246"/>
      <c r="B38" s="247"/>
      <c r="C38" s="130"/>
      <c r="D38" s="11"/>
      <c r="E38" s="12"/>
    </row>
    <row r="39" ht="16" customHeight="1">
      <c r="A39" s="248"/>
      <c r="B39" s="249"/>
      <c r="C39" s="250"/>
      <c r="D39" s="81"/>
      <c r="E39" s="82"/>
    </row>
  </sheetData>
  <pageMargins left="0.7" right="0.7" top="0.75" bottom="0.75" header="0.3" footer="0.3"/>
  <pageSetup firstPageNumber="1" fitToHeight="1" fitToWidth="1" scale="100" useFirstPageNumber="0" orientation="portrait" pageOrder="downThenOver"/>
  <headerFooter>
    <oddFooter>&amp;C&amp;"ヒラギノ角ゴ ProN W3,Regular"&amp;12&amp;K000000&amp;P</oddFooter>
  </headerFooter>
</worksheet>
</file>

<file path=xl/worksheets/sheet9.xml><?xml version="1.0" encoding="utf-8"?>
<worksheet xmlns:r="http://schemas.openxmlformats.org/officeDocument/2006/relationships" xmlns="http://schemas.openxmlformats.org/spreadsheetml/2006/main">
  <dimension ref="A1:FB35"/>
  <sheetViews>
    <sheetView workbookViewId="0" showGridLines="0" defaultGridColor="1"/>
  </sheetViews>
  <sheetFormatPr defaultColWidth="9" defaultRowHeight="13.5" customHeight="1" outlineLevelRow="0" outlineLevelCol="0"/>
  <cols>
    <col min="1" max="1" width="11.2891" style="251" customWidth="1"/>
    <col min="2" max="32" width="9" style="251" customWidth="1"/>
    <col min="33" max="33" width="2.44531" style="251" customWidth="1"/>
    <col min="34" max="34" width="11.2891" style="251" customWidth="1"/>
    <col min="35" max="35" width="12.8672" style="251" customWidth="1"/>
    <col min="36" max="36" width="9" style="251" customWidth="1"/>
    <col min="37" max="37" width="9.28906" style="251" customWidth="1"/>
    <col min="38" max="58" width="9" style="251" customWidth="1"/>
    <col min="59" max="59" width="2" style="251" customWidth="1"/>
    <col min="60" max="60" width="11.2891" style="251" customWidth="1"/>
    <col min="61" max="91" width="9" style="251" customWidth="1"/>
    <col min="92" max="92" width="1.57812" style="251" customWidth="1"/>
    <col min="93" max="93" width="11.2891" style="251" customWidth="1"/>
    <col min="94" max="124" width="9" style="251" customWidth="1"/>
    <col min="125" max="125" width="1.57812" style="251" customWidth="1"/>
    <col min="126" max="127" width="11.2891" style="251" customWidth="1"/>
    <col min="128" max="158" width="9" style="251" customWidth="1"/>
    <col min="159" max="256" width="9" style="251" customWidth="1"/>
  </cols>
  <sheetData>
    <row r="1" ht="13.5" customHeight="1">
      <c r="A1" t="s" s="252">
        <v>206</v>
      </c>
      <c r="B1" t="s" s="253">
        <v>227</v>
      </c>
      <c r="C1" s="254"/>
      <c r="D1" t="s" s="255">
        <v>109</v>
      </c>
      <c r="E1" t="s" s="255">
        <v>110</v>
      </c>
      <c r="F1" t="s" s="255">
        <v>111</v>
      </c>
      <c r="G1" t="s" s="255">
        <v>112</v>
      </c>
      <c r="H1" t="s" s="255">
        <v>113</v>
      </c>
      <c r="I1" t="s" s="255">
        <v>114</v>
      </c>
      <c r="J1" t="s" s="255">
        <v>115</v>
      </c>
      <c r="K1" t="s" s="255">
        <v>116</v>
      </c>
      <c r="L1" t="s" s="255">
        <v>117</v>
      </c>
      <c r="M1" t="s" s="255">
        <v>118</v>
      </c>
      <c r="N1" t="s" s="255">
        <v>119</v>
      </c>
      <c r="O1" t="s" s="255">
        <v>120</v>
      </c>
      <c r="P1" t="s" s="255">
        <v>121</v>
      </c>
      <c r="Q1" t="s" s="255">
        <v>228</v>
      </c>
      <c r="R1" t="s" s="255">
        <v>229</v>
      </c>
      <c r="S1" t="s" s="255">
        <v>230</v>
      </c>
      <c r="T1" t="s" s="255">
        <v>231</v>
      </c>
      <c r="U1" t="s" s="255">
        <v>232</v>
      </c>
      <c r="V1" t="s" s="255">
        <v>233</v>
      </c>
      <c r="W1" t="s" s="255">
        <v>234</v>
      </c>
      <c r="X1" t="s" s="255">
        <v>235</v>
      </c>
      <c r="Y1" t="s" s="255">
        <v>236</v>
      </c>
      <c r="Z1" t="s" s="256">
        <v>237</v>
      </c>
      <c r="AA1" t="s" s="256">
        <v>238</v>
      </c>
      <c r="AB1" t="s" s="257">
        <v>239</v>
      </c>
      <c r="AC1" t="s" s="257">
        <v>240</v>
      </c>
      <c r="AD1" t="s" s="256">
        <v>241</v>
      </c>
      <c r="AE1" t="s" s="256">
        <v>242</v>
      </c>
      <c r="AF1" t="s" s="256">
        <v>243</v>
      </c>
      <c r="AG1" s="238"/>
      <c r="AH1" s="258"/>
      <c r="AI1" t="s" s="259">
        <v>244</v>
      </c>
      <c r="AJ1" t="s" s="260">
        <v>245</v>
      </c>
      <c r="AK1" s="261"/>
      <c r="AL1" t="s" s="262">
        <v>246</v>
      </c>
      <c r="AM1" t="s" s="263">
        <v>247</v>
      </c>
      <c r="AN1" t="s" s="263">
        <v>248</v>
      </c>
      <c r="AO1" t="s" s="263">
        <v>249</v>
      </c>
      <c r="AP1" t="s" s="263">
        <v>250</v>
      </c>
      <c r="AQ1" t="s" s="263">
        <v>251</v>
      </c>
      <c r="AR1" t="s" s="263">
        <v>252</v>
      </c>
      <c r="AS1" t="s" s="263">
        <v>253</v>
      </c>
      <c r="AT1" t="s" s="263">
        <v>254</v>
      </c>
      <c r="AU1" t="s" s="263">
        <v>255</v>
      </c>
      <c r="AV1" t="s" s="263">
        <v>256</v>
      </c>
      <c r="AW1" t="s" s="263">
        <v>257</v>
      </c>
      <c r="AX1" t="s" s="263">
        <v>258</v>
      </c>
      <c r="AY1" t="s" s="263">
        <v>259</v>
      </c>
      <c r="AZ1" t="s" s="263">
        <v>260</v>
      </c>
      <c r="BA1" t="s" s="263">
        <v>261</v>
      </c>
      <c r="BB1" t="s" s="263">
        <v>262</v>
      </c>
      <c r="BC1" t="s" s="263">
        <v>263</v>
      </c>
      <c r="BD1" t="s" s="263">
        <v>264</v>
      </c>
      <c r="BE1" t="s" s="263">
        <v>265</v>
      </c>
      <c r="BF1" t="s" s="263">
        <v>266</v>
      </c>
      <c r="BG1" s="238"/>
      <c r="BH1" s="264"/>
      <c r="BI1" t="s" s="265">
        <v>227</v>
      </c>
      <c r="BJ1" s="266"/>
      <c r="BK1" t="s" s="267">
        <v>109</v>
      </c>
      <c r="BL1" t="s" s="267">
        <v>110</v>
      </c>
      <c r="BM1" t="s" s="267">
        <v>111</v>
      </c>
      <c r="BN1" t="s" s="267">
        <v>112</v>
      </c>
      <c r="BO1" t="s" s="267">
        <v>113</v>
      </c>
      <c r="BP1" t="s" s="267">
        <v>114</v>
      </c>
      <c r="BQ1" t="s" s="267">
        <v>115</v>
      </c>
      <c r="BR1" t="s" s="267">
        <v>116</v>
      </c>
      <c r="BS1" t="s" s="267">
        <v>117</v>
      </c>
      <c r="BT1" t="s" s="267">
        <v>118</v>
      </c>
      <c r="BU1" t="s" s="267">
        <v>119</v>
      </c>
      <c r="BV1" t="s" s="267">
        <v>120</v>
      </c>
      <c r="BW1" t="s" s="267">
        <v>121</v>
      </c>
      <c r="BX1" t="s" s="267">
        <v>228</v>
      </c>
      <c r="BY1" t="s" s="267">
        <v>229</v>
      </c>
      <c r="BZ1" t="s" s="267">
        <v>230</v>
      </c>
      <c r="CA1" t="s" s="267">
        <v>231</v>
      </c>
      <c r="CB1" t="s" s="267">
        <v>232</v>
      </c>
      <c r="CC1" t="s" s="267">
        <v>233</v>
      </c>
      <c r="CD1" t="s" s="267">
        <v>234</v>
      </c>
      <c r="CE1" t="s" s="267">
        <v>235</v>
      </c>
      <c r="CF1" t="s" s="267">
        <v>236</v>
      </c>
      <c r="CG1" t="s" s="268">
        <v>237</v>
      </c>
      <c r="CH1" t="s" s="268">
        <v>238</v>
      </c>
      <c r="CI1" t="s" s="269">
        <v>239</v>
      </c>
      <c r="CJ1" t="s" s="269">
        <v>240</v>
      </c>
      <c r="CK1" t="s" s="268">
        <v>241</v>
      </c>
      <c r="CL1" t="s" s="268">
        <v>242</v>
      </c>
      <c r="CM1" t="s" s="268">
        <v>243</v>
      </c>
      <c r="CN1" s="238"/>
      <c r="CO1" s="264"/>
      <c r="CP1" t="s" s="270">
        <v>227</v>
      </c>
      <c r="CQ1" s="271"/>
      <c r="CR1" t="s" s="272">
        <v>109</v>
      </c>
      <c r="CS1" t="s" s="272">
        <v>110</v>
      </c>
      <c r="CT1" t="s" s="272">
        <v>111</v>
      </c>
      <c r="CU1" t="s" s="272">
        <v>112</v>
      </c>
      <c r="CV1" t="s" s="272">
        <v>113</v>
      </c>
      <c r="CW1" t="s" s="272">
        <v>114</v>
      </c>
      <c r="CX1" t="s" s="272">
        <v>115</v>
      </c>
      <c r="CY1" t="s" s="272">
        <v>116</v>
      </c>
      <c r="CZ1" t="s" s="272">
        <v>117</v>
      </c>
      <c r="DA1" t="s" s="272">
        <v>118</v>
      </c>
      <c r="DB1" t="s" s="272">
        <v>119</v>
      </c>
      <c r="DC1" t="s" s="272">
        <v>120</v>
      </c>
      <c r="DD1" t="s" s="272">
        <v>121</v>
      </c>
      <c r="DE1" t="s" s="272">
        <v>228</v>
      </c>
      <c r="DF1" t="s" s="272">
        <v>229</v>
      </c>
      <c r="DG1" t="s" s="272">
        <v>230</v>
      </c>
      <c r="DH1" t="s" s="272">
        <v>231</v>
      </c>
      <c r="DI1" t="s" s="272">
        <v>232</v>
      </c>
      <c r="DJ1" t="s" s="272">
        <v>233</v>
      </c>
      <c r="DK1" t="s" s="272">
        <v>234</v>
      </c>
      <c r="DL1" t="s" s="272">
        <v>235</v>
      </c>
      <c r="DM1" t="s" s="272">
        <v>236</v>
      </c>
      <c r="DN1" t="s" s="273">
        <v>237</v>
      </c>
      <c r="DO1" t="s" s="273">
        <v>238</v>
      </c>
      <c r="DP1" t="s" s="274">
        <v>239</v>
      </c>
      <c r="DQ1" t="s" s="274">
        <v>240</v>
      </c>
      <c r="DR1" t="s" s="273">
        <v>241</v>
      </c>
      <c r="DS1" t="s" s="273">
        <v>242</v>
      </c>
      <c r="DT1" t="s" s="273">
        <v>243</v>
      </c>
      <c r="DU1" s="238"/>
      <c r="DV1" t="s" s="275">
        <v>267</v>
      </c>
      <c r="DW1" s="276"/>
      <c r="DX1" s="277">
        <f>DW17</f>
      </c>
      <c r="DY1" s="278"/>
      <c r="DZ1" t="s" s="279">
        <v>109</v>
      </c>
      <c r="EA1" t="s" s="279">
        <v>110</v>
      </c>
      <c r="EB1" t="s" s="279">
        <v>111</v>
      </c>
      <c r="EC1" t="s" s="279">
        <v>112</v>
      </c>
      <c r="ED1" t="s" s="279">
        <v>113</v>
      </c>
      <c r="EE1" t="s" s="279">
        <v>114</v>
      </c>
      <c r="EF1" t="s" s="279">
        <v>115</v>
      </c>
      <c r="EG1" t="s" s="279">
        <v>116</v>
      </c>
      <c r="EH1" t="s" s="279">
        <v>117</v>
      </c>
      <c r="EI1" t="s" s="279">
        <v>118</v>
      </c>
      <c r="EJ1" t="s" s="279">
        <v>119</v>
      </c>
      <c r="EK1" t="s" s="279">
        <v>120</v>
      </c>
      <c r="EL1" t="s" s="279">
        <v>121</v>
      </c>
      <c r="EM1" t="s" s="279">
        <v>228</v>
      </c>
      <c r="EN1" t="s" s="279">
        <v>229</v>
      </c>
      <c r="EO1" t="s" s="279">
        <v>230</v>
      </c>
      <c r="EP1" t="s" s="279">
        <v>231</v>
      </c>
      <c r="EQ1" t="s" s="279">
        <v>232</v>
      </c>
      <c r="ER1" t="s" s="279">
        <v>233</v>
      </c>
      <c r="ES1" t="s" s="279">
        <v>234</v>
      </c>
      <c r="ET1" t="s" s="279">
        <v>235</v>
      </c>
      <c r="EU1" t="s" s="279">
        <v>236</v>
      </c>
      <c r="EV1" t="s" s="280">
        <v>237</v>
      </c>
      <c r="EW1" t="s" s="280">
        <v>238</v>
      </c>
      <c r="EX1" t="s" s="281">
        <v>239</v>
      </c>
      <c r="EY1" t="s" s="281">
        <v>240</v>
      </c>
      <c r="EZ1" t="s" s="280">
        <v>241</v>
      </c>
      <c r="FA1" t="s" s="280">
        <v>242</v>
      </c>
      <c r="FB1" t="s" s="280">
        <v>243</v>
      </c>
    </row>
    <row r="2" ht="16" customHeight="1">
      <c r="A2" t="s" s="282">
        <v>268</v>
      </c>
      <c r="B2" s="283"/>
      <c r="C2" s="284"/>
      <c r="D2" s="285"/>
      <c r="E2" s="285"/>
      <c r="F2" s="285"/>
      <c r="G2" s="285"/>
      <c r="H2" s="285"/>
      <c r="I2" s="285"/>
      <c r="J2" s="285"/>
      <c r="K2" s="285"/>
      <c r="L2" s="285"/>
      <c r="M2" s="285"/>
      <c r="N2" s="285"/>
      <c r="O2" s="285"/>
      <c r="P2" s="285"/>
      <c r="Q2" s="285"/>
      <c r="R2" s="285"/>
      <c r="S2" s="285"/>
      <c r="T2" s="285"/>
      <c r="U2" s="285"/>
      <c r="V2" s="285"/>
      <c r="W2" s="285"/>
      <c r="X2" s="285"/>
      <c r="Y2" s="285"/>
      <c r="Z2" s="286"/>
      <c r="AA2" s="286"/>
      <c r="AB2" s="287"/>
      <c r="AC2" s="287"/>
      <c r="AD2" s="286"/>
      <c r="AE2" s="286"/>
      <c r="AF2" s="286"/>
      <c r="AG2" s="130"/>
      <c r="AH2" s="288"/>
      <c r="AI2" s="289"/>
      <c r="AJ2" s="290"/>
      <c r="AK2" s="291"/>
      <c r="AL2" s="292"/>
      <c r="AM2" s="293"/>
      <c r="AN2" s="293"/>
      <c r="AO2" s="293"/>
      <c r="AP2" s="293"/>
      <c r="AQ2" s="293"/>
      <c r="AR2" s="293"/>
      <c r="AS2" s="293"/>
      <c r="AT2" s="293"/>
      <c r="AU2" s="293"/>
      <c r="AV2" s="293"/>
      <c r="AW2" s="293"/>
      <c r="AX2" s="293"/>
      <c r="AY2" s="293"/>
      <c r="AZ2" s="293"/>
      <c r="BA2" s="293"/>
      <c r="BB2" s="293"/>
      <c r="BC2" s="293"/>
      <c r="BD2" s="293"/>
      <c r="BE2" s="293"/>
      <c r="BF2" s="293"/>
      <c r="BG2" s="130"/>
      <c r="BH2" t="s" s="294">
        <v>268</v>
      </c>
      <c r="BI2" t="s" s="295">
        <v>269</v>
      </c>
      <c r="BJ2" s="296"/>
      <c r="BK2" s="297"/>
      <c r="BL2" s="297"/>
      <c r="BM2" s="297"/>
      <c r="BN2" s="297"/>
      <c r="BO2" s="297"/>
      <c r="BP2" s="297"/>
      <c r="BQ2" s="297"/>
      <c r="BR2" s="297"/>
      <c r="BS2" s="297"/>
      <c r="BT2" s="297"/>
      <c r="BU2" s="297"/>
      <c r="BV2" s="297"/>
      <c r="BW2" s="297"/>
      <c r="BX2" s="297"/>
      <c r="BY2" s="297"/>
      <c r="BZ2" s="297"/>
      <c r="CA2" s="297"/>
      <c r="CB2" s="297"/>
      <c r="CC2" s="297"/>
      <c r="CD2" s="297"/>
      <c r="CE2" s="297"/>
      <c r="CF2" s="297"/>
      <c r="CG2" s="298"/>
      <c r="CH2" s="298"/>
      <c r="CI2" s="299"/>
      <c r="CJ2" s="299"/>
      <c r="CK2" s="298"/>
      <c r="CL2" s="298"/>
      <c r="CM2" s="298"/>
      <c r="CN2" s="130"/>
      <c r="CO2" t="s" s="294">
        <v>268</v>
      </c>
      <c r="CP2" t="s" s="300">
        <v>270</v>
      </c>
      <c r="CQ2" s="301"/>
      <c r="CR2" s="302"/>
      <c r="CS2" s="302"/>
      <c r="CT2" s="302"/>
      <c r="CU2" s="302"/>
      <c r="CV2" s="302"/>
      <c r="CW2" s="302"/>
      <c r="CX2" s="302"/>
      <c r="CY2" s="302"/>
      <c r="CZ2" s="302"/>
      <c r="DA2" s="302"/>
      <c r="DB2" s="302"/>
      <c r="DC2" s="302"/>
      <c r="DD2" s="302"/>
      <c r="DE2" s="302"/>
      <c r="DF2" s="302"/>
      <c r="DG2" s="302"/>
      <c r="DH2" s="302"/>
      <c r="DI2" s="302"/>
      <c r="DJ2" s="302"/>
      <c r="DK2" s="302"/>
      <c r="DL2" s="302"/>
      <c r="DM2" s="302"/>
      <c r="DN2" s="303"/>
      <c r="DO2" s="303"/>
      <c r="DP2" s="304"/>
      <c r="DQ2" s="304"/>
      <c r="DR2" s="303"/>
      <c r="DS2" s="303"/>
      <c r="DT2" s="303"/>
      <c r="DU2" s="130"/>
      <c r="DV2" s="305"/>
      <c r="DW2" s="306"/>
      <c r="DX2" s="307"/>
      <c r="DY2" s="308"/>
      <c r="DZ2" s="309"/>
      <c r="EA2" s="309"/>
      <c r="EB2" s="309"/>
      <c r="EC2" s="309"/>
      <c r="ED2" s="309"/>
      <c r="EE2" s="309"/>
      <c r="EF2" s="309"/>
      <c r="EG2" s="309"/>
      <c r="EH2" s="309"/>
      <c r="EI2" s="309"/>
      <c r="EJ2" s="309"/>
      <c r="EK2" s="309"/>
      <c r="EL2" s="309"/>
      <c r="EM2" s="309"/>
      <c r="EN2" s="309"/>
      <c r="EO2" s="309"/>
      <c r="EP2" s="309"/>
      <c r="EQ2" s="309"/>
      <c r="ER2" s="309"/>
      <c r="ES2" s="309"/>
      <c r="ET2" s="309"/>
      <c r="EU2" s="309"/>
      <c r="EV2" s="310"/>
      <c r="EW2" s="310"/>
      <c r="EX2" s="311"/>
      <c r="EY2" s="311"/>
      <c r="EZ2" s="310"/>
      <c r="FA2" s="310"/>
      <c r="FB2" s="310"/>
    </row>
    <row r="3" ht="16" customHeight="1">
      <c r="A3" t="s" s="282">
        <f>B3&amp;"_"&amp;IF(C3="男性",1,IF(C3="女性",2,IF(C3="合計",3)))</f>
        <v>271</v>
      </c>
      <c r="B3" s="312">
        <v>2005</v>
      </c>
      <c r="C3" t="s" s="313">
        <v>107</v>
      </c>
      <c r="D3" s="314">
        <v>45</v>
      </c>
      <c r="E3" s="314">
        <v>61</v>
      </c>
      <c r="F3" s="314">
        <v>113</v>
      </c>
      <c r="G3" s="314">
        <v>109</v>
      </c>
      <c r="H3" s="314">
        <v>134</v>
      </c>
      <c r="I3" s="314">
        <v>85</v>
      </c>
      <c r="J3" s="314">
        <v>79</v>
      </c>
      <c r="K3" s="314">
        <v>78</v>
      </c>
      <c r="L3" s="314">
        <v>82</v>
      </c>
      <c r="M3" s="314">
        <v>161</v>
      </c>
      <c r="N3" s="314">
        <v>170</v>
      </c>
      <c r="O3" s="314">
        <v>212</v>
      </c>
      <c r="P3" s="314">
        <v>162</v>
      </c>
      <c r="Q3" s="314">
        <v>190</v>
      </c>
      <c r="R3" s="314">
        <v>194</v>
      </c>
      <c r="S3" s="314">
        <v>142</v>
      </c>
      <c r="T3" s="314">
        <v>78</v>
      </c>
      <c r="U3" s="314">
        <v>48</v>
      </c>
      <c r="V3" s="314">
        <v>15</v>
      </c>
      <c r="W3" s="314">
        <v>1</v>
      </c>
      <c r="X3" s="314">
        <v>1</v>
      </c>
      <c r="Y3" s="314">
        <f>SUM(D3:X3)</f>
        <v>2160</v>
      </c>
      <c r="Z3" s="314">
        <f>E3*3/5+F3*3/5</f>
        <v>104.4</v>
      </c>
      <c r="AA3" s="314">
        <f>F3*2/5+G3*1/5</f>
        <v>67</v>
      </c>
      <c r="AB3" s="314">
        <f>SUM(Q3:X3)</f>
        <v>669</v>
      </c>
      <c r="AC3" s="314">
        <f>SUM(S3:X3)</f>
        <v>285</v>
      </c>
      <c r="AD3" s="315">
        <f>AB3/Y3</f>
        <v>0.309722222222222</v>
      </c>
      <c r="AE3" s="315">
        <f>AC3/Y3</f>
        <v>0.131944444444444</v>
      </c>
      <c r="AF3" s="314">
        <f>SUM(H3:K3)</f>
        <v>376</v>
      </c>
      <c r="AG3" s="130"/>
      <c r="AH3" s="316"/>
      <c r="AI3" t="s" s="313">
        <v>272</v>
      </c>
      <c r="AJ3" s="317">
        <v>2015</v>
      </c>
      <c r="AK3" s="317">
        <v>2020</v>
      </c>
      <c r="AL3" t="s" s="240">
        <v>107</v>
      </c>
      <c r="AM3" s="318">
        <f>IF(AND(VLOOKUP($AJ3&amp;"_1",$A1:$X35,AM$9,FALSE)&lt;1,VLOOKUP($AK3&amp;"_1",$A1:$X35,AM$10,FALSE)&lt;1),1,IF(AND(VLOOKUP($AJ3&amp;"_1",$A1:$X35,AM$9,FALSE)&lt;1,VLOOKUP($AK3&amp;"_1",$A1:$X35,AM$10,FALSE)&gt;=1),VLOOKUP($AK3&amp;"_1",$A1:$X35,AM$10,FALSE)/1,IF(AND(VLOOKUP($AJ3&amp;"_1",$A1:$X35,AM$9,FALSE)&gt;=1,VLOOKUP($AK3&amp;"_1",$A1:$X35,AM$10,FALSE)&lt;1),1/VLOOKUP($AJ3&amp;"_1",$A1:$X35,AM$9,FALSE),IF(AND(VLOOKUP($AJ3&amp;"_1",$A1:$X35,AM$9,FALSE)&gt;=1,VLOOKUP($AK3&amp;"_1",$A1:$X35,AM$10,FALSE)&gt;=1),VLOOKUP($AK3&amp;"_1",$A1:$X35,AM$10,FALSE)/VLOOKUP($AJ3&amp;"_1",$A1:$X35,AM$9,FALSE)))))</f>
      </c>
      <c r="AN3" s="318">
        <f>IF(AND(VLOOKUP($AJ3&amp;"_1",$A1:$X35,AN$9,FALSE)&lt;1,VLOOKUP($AK3&amp;"_1",$A1:$X35,AN$10,FALSE)&lt;1),1,IF(AND(VLOOKUP($AJ3&amp;"_1",$A1:$X35,AN$9,FALSE)&lt;1,VLOOKUP($AK3&amp;"_1",$A1:$X35,AN$10,FALSE)&gt;=1),VLOOKUP($AK3&amp;"_1",$A1:$X35,AN$10,FALSE)/1,IF(AND(VLOOKUP($AJ3&amp;"_1",$A1:$X35,AN$9,FALSE)&gt;=1,VLOOKUP($AK3&amp;"_1",$A1:$X35,AN$10,FALSE)&lt;1),1/VLOOKUP($AJ3&amp;"_1",$A1:$X35,AN$9,FALSE),IF(AND(VLOOKUP($AJ3&amp;"_1",$A1:$X35,AN$9,FALSE)&gt;=1,VLOOKUP($AK3&amp;"_1",$A1:$X35,AN$10,FALSE)&gt;=1),VLOOKUP($AK3&amp;"_1",$A1:$X35,AN$10,FALSE)/VLOOKUP($AJ3&amp;"_1",$A1:$X35,AN$9,FALSE)))))</f>
      </c>
      <c r="AO3" s="318">
        <f>IF(AND(VLOOKUP($AJ3&amp;"_1",$A1:$X35,AO$9,FALSE)&lt;1,VLOOKUP($AK3&amp;"_1",$A1:$X35,AO$10,FALSE)&lt;1),1,IF(AND(VLOOKUP($AJ3&amp;"_1",$A1:$X35,AO$9,FALSE)&lt;1,VLOOKUP($AK3&amp;"_1",$A1:$X35,AO$10,FALSE)&gt;=1),VLOOKUP($AK3&amp;"_1",$A1:$X35,AO$10,FALSE)/1,IF(AND(VLOOKUP($AJ3&amp;"_1",$A1:$X35,AO$9,FALSE)&gt;=1,VLOOKUP($AK3&amp;"_1",$A1:$X35,AO$10,FALSE)&lt;1),1/VLOOKUP($AJ3&amp;"_1",$A1:$X35,AO$9,FALSE),IF(AND(VLOOKUP($AJ3&amp;"_1",$A1:$X35,AO$9,FALSE)&gt;=1,VLOOKUP($AK3&amp;"_1",$A1:$X35,AO$10,FALSE)&gt;=1),VLOOKUP($AK3&amp;"_1",$A1:$X35,AO$10,FALSE)/VLOOKUP($AJ3&amp;"_1",$A1:$X35,AO$9,FALSE)))))</f>
      </c>
      <c r="AP3" s="318">
        <f>IF(AND(VLOOKUP($AJ3&amp;"_1",$A1:$X35,AP$9,FALSE)&lt;1,VLOOKUP($AK3&amp;"_1",$A1:$X35,AP$10,FALSE)&lt;1),1,IF(AND(VLOOKUP($AJ3&amp;"_1",$A1:$X35,AP$9,FALSE)&lt;1,VLOOKUP($AK3&amp;"_1",$A1:$X35,AP$10,FALSE)&gt;=1),VLOOKUP($AK3&amp;"_1",$A1:$X35,AP$10,FALSE)/1,IF(AND(VLOOKUP($AJ3&amp;"_1",$A1:$X35,AP$9,FALSE)&gt;=1,VLOOKUP($AK3&amp;"_1",$A1:$X35,AP$10,FALSE)&lt;1),1/VLOOKUP($AJ3&amp;"_1",$A1:$X35,AP$9,FALSE),IF(AND(VLOOKUP($AJ3&amp;"_1",$A1:$X35,AP$9,FALSE)&gt;=1,VLOOKUP($AK3&amp;"_1",$A1:$X35,AP$10,FALSE)&gt;=1),VLOOKUP($AK3&amp;"_1",$A1:$X35,AP$10,FALSE)/VLOOKUP($AJ3&amp;"_1",$A1:$X35,AP$9,FALSE)))))</f>
      </c>
      <c r="AQ3" s="318">
        <f>IF(AND(VLOOKUP($AJ3&amp;"_1",$A1:$X35,AQ$9,FALSE)&lt;1,VLOOKUP($AK3&amp;"_1",$A1:$X35,AQ$10,FALSE)&lt;1),1,IF(AND(VLOOKUP($AJ3&amp;"_1",$A1:$X35,AQ$9,FALSE)&lt;1,VLOOKUP($AK3&amp;"_1",$A1:$X35,AQ$10,FALSE)&gt;=1),VLOOKUP($AK3&amp;"_1",$A1:$X35,AQ$10,FALSE)/1,IF(AND(VLOOKUP($AJ3&amp;"_1",$A1:$X35,AQ$9,FALSE)&gt;=1,VLOOKUP($AK3&amp;"_1",$A1:$X35,AQ$10,FALSE)&lt;1),1/VLOOKUP($AJ3&amp;"_1",$A1:$X35,AQ$9,FALSE),IF(AND(VLOOKUP($AJ3&amp;"_1",$A1:$X35,AQ$9,FALSE)&gt;=1,VLOOKUP($AK3&amp;"_1",$A1:$X35,AQ$10,FALSE)&gt;=1),VLOOKUP($AK3&amp;"_1",$A1:$X35,AQ$10,FALSE)/VLOOKUP($AJ3&amp;"_1",$A1:$X35,AQ$9,FALSE)))))</f>
      </c>
      <c r="AR3" s="318">
        <f>IF(AND(VLOOKUP($AJ3&amp;"_1",$A1:$X35,AR$9,FALSE)&lt;1,VLOOKUP($AK3&amp;"_1",$A1:$X35,AR$10,FALSE)&lt;1),1,IF(AND(VLOOKUP($AJ3&amp;"_1",$A1:$X35,AR$9,FALSE)&lt;1,VLOOKUP($AK3&amp;"_1",$A1:$X35,AR$10,FALSE)&gt;=1),VLOOKUP($AK3&amp;"_1",$A1:$X35,AR$10,FALSE)/1,IF(AND(VLOOKUP($AJ3&amp;"_1",$A1:$X35,AR$9,FALSE)&gt;=1,VLOOKUP($AK3&amp;"_1",$A1:$X35,AR$10,FALSE)&lt;1),1/VLOOKUP($AJ3&amp;"_1",$A1:$X35,AR$9,FALSE),IF(AND(VLOOKUP($AJ3&amp;"_1",$A1:$X35,AR$9,FALSE)&gt;=1,VLOOKUP($AK3&amp;"_1",$A1:$X35,AR$10,FALSE)&gt;=1),VLOOKUP($AK3&amp;"_1",$A1:$X35,AR$10,FALSE)/VLOOKUP($AJ3&amp;"_1",$A1:$X35,AR$9,FALSE)))))</f>
      </c>
      <c r="AS3" s="318">
        <f>IF(AND(VLOOKUP($AJ3&amp;"_1",$A1:$X35,AS$9,FALSE)&lt;1,VLOOKUP($AK3&amp;"_1",$A1:$X35,AS$10,FALSE)&lt;1),1,IF(AND(VLOOKUP($AJ3&amp;"_1",$A1:$X35,AS$9,FALSE)&lt;1,VLOOKUP($AK3&amp;"_1",$A1:$X35,AS$10,FALSE)&gt;=1),VLOOKUP($AK3&amp;"_1",$A1:$X35,AS$10,FALSE)/1,IF(AND(VLOOKUP($AJ3&amp;"_1",$A1:$X35,AS$9,FALSE)&gt;=1,VLOOKUP($AK3&amp;"_1",$A1:$X35,AS$10,FALSE)&lt;1),1/VLOOKUP($AJ3&amp;"_1",$A1:$X35,AS$9,FALSE),IF(AND(VLOOKUP($AJ3&amp;"_1",$A1:$X35,AS$9,FALSE)&gt;=1,VLOOKUP($AK3&amp;"_1",$A1:$X35,AS$10,FALSE)&gt;=1),VLOOKUP($AK3&amp;"_1",$A1:$X35,AS$10,FALSE)/VLOOKUP($AJ3&amp;"_1",$A1:$X35,AS$9,FALSE)))))</f>
      </c>
      <c r="AT3" s="318">
        <f>IF(AND(VLOOKUP($AJ3&amp;"_1",$A1:$X35,AT$9,FALSE)&lt;1,VLOOKUP($AK3&amp;"_1",$A1:$X35,AT$10,FALSE)&lt;1),1,IF(AND(VLOOKUP($AJ3&amp;"_1",$A1:$X35,AT$9,FALSE)&lt;1,VLOOKUP($AK3&amp;"_1",$A1:$X35,AT$10,FALSE)&gt;=1),VLOOKUP($AK3&amp;"_1",$A1:$X35,AT$10,FALSE)/1,IF(AND(VLOOKUP($AJ3&amp;"_1",$A1:$X35,AT$9,FALSE)&gt;=1,VLOOKUP($AK3&amp;"_1",$A1:$X35,AT$10,FALSE)&lt;1),1/VLOOKUP($AJ3&amp;"_1",$A1:$X35,AT$9,FALSE),IF(AND(VLOOKUP($AJ3&amp;"_1",$A1:$X35,AT$9,FALSE)&gt;=1,VLOOKUP($AK3&amp;"_1",$A1:$X35,AT$10,FALSE)&gt;=1),VLOOKUP($AK3&amp;"_1",$A1:$X35,AT$10,FALSE)/VLOOKUP($AJ3&amp;"_1",$A1:$X35,AT$9,FALSE)))))</f>
      </c>
      <c r="AU3" s="318">
        <f>IF(AND(VLOOKUP($AJ3&amp;"_1",$A1:$X35,AU$9,FALSE)&lt;1,VLOOKUP($AK3&amp;"_1",$A1:$X35,AU$10,FALSE)&lt;1),1,IF(AND(VLOOKUP($AJ3&amp;"_1",$A1:$X35,AU$9,FALSE)&lt;1,VLOOKUP($AK3&amp;"_1",$A1:$X35,AU$10,FALSE)&gt;=1),VLOOKUP($AK3&amp;"_1",$A1:$X35,AU$10,FALSE)/1,IF(AND(VLOOKUP($AJ3&amp;"_1",$A1:$X35,AU$9,FALSE)&gt;=1,VLOOKUP($AK3&amp;"_1",$A1:$X35,AU$10,FALSE)&lt;1),1/VLOOKUP($AJ3&amp;"_1",$A1:$X35,AU$9,FALSE),IF(AND(VLOOKUP($AJ3&amp;"_1",$A1:$X35,AU$9,FALSE)&gt;=1,VLOOKUP($AK3&amp;"_1",$A1:$X35,AU$10,FALSE)&gt;=1),VLOOKUP($AK3&amp;"_1",$A1:$X35,AU$10,FALSE)/VLOOKUP($AJ3&amp;"_1",$A1:$X35,AU$9,FALSE)))))</f>
      </c>
      <c r="AV3" s="318">
        <f>IF(AND(VLOOKUP($AJ3&amp;"_1",$A1:$X35,AV$9,FALSE)&lt;1,VLOOKUP($AK3&amp;"_1",$A1:$X35,AV$10,FALSE)&lt;1),1,IF(AND(VLOOKUP($AJ3&amp;"_1",$A1:$X35,AV$9,FALSE)&lt;1,VLOOKUP($AK3&amp;"_1",$A1:$X35,AV$10,FALSE)&gt;=1),VLOOKUP($AK3&amp;"_1",$A1:$X35,AV$10,FALSE)/1,IF(AND(VLOOKUP($AJ3&amp;"_1",$A1:$X35,AV$9,FALSE)&gt;=1,VLOOKUP($AK3&amp;"_1",$A1:$X35,AV$10,FALSE)&lt;1),1/VLOOKUP($AJ3&amp;"_1",$A1:$X35,AV$9,FALSE),IF(AND(VLOOKUP($AJ3&amp;"_1",$A1:$X35,AV$9,FALSE)&gt;=1,VLOOKUP($AK3&amp;"_1",$A1:$X35,AV$10,FALSE)&gt;=1),VLOOKUP($AK3&amp;"_1",$A1:$X35,AV$10,FALSE)/VLOOKUP($AJ3&amp;"_1",$A1:$X35,AV$9,FALSE)))))</f>
      </c>
      <c r="AW3" s="318">
        <f>IF(AND(VLOOKUP($AJ3&amp;"_1",$A1:$X35,AW$9,FALSE)&lt;1,VLOOKUP($AK3&amp;"_1",$A1:$X35,AW$10,FALSE)&lt;1),1,IF(AND(VLOOKUP($AJ3&amp;"_1",$A1:$X35,AW$9,FALSE)&lt;1,VLOOKUP($AK3&amp;"_1",$A1:$X35,AW$10,FALSE)&gt;=1),VLOOKUP($AK3&amp;"_1",$A1:$X35,AW$10,FALSE)/1,IF(AND(VLOOKUP($AJ3&amp;"_1",$A1:$X35,AW$9,FALSE)&gt;=1,VLOOKUP($AK3&amp;"_1",$A1:$X35,AW$10,FALSE)&lt;1),1/VLOOKUP($AJ3&amp;"_1",$A1:$X35,AW$9,FALSE),IF(AND(VLOOKUP($AJ3&amp;"_1",$A1:$X35,AW$9,FALSE)&gt;=1,VLOOKUP($AK3&amp;"_1",$A1:$X35,AW$10,FALSE)&gt;=1),VLOOKUP($AK3&amp;"_1",$A1:$X35,AW$10,FALSE)/VLOOKUP($AJ3&amp;"_1",$A1:$X35,AW$9,FALSE)))))</f>
      </c>
      <c r="AX3" s="318">
        <f>IF(AND(VLOOKUP($AJ3&amp;"_1",$A1:$X35,AX$9,FALSE)&lt;1,VLOOKUP($AK3&amp;"_1",$A1:$X35,AX$10,FALSE)&lt;1),1,IF(AND(VLOOKUP($AJ3&amp;"_1",$A1:$X35,AX$9,FALSE)&lt;1,VLOOKUP($AK3&amp;"_1",$A1:$X35,AX$10,FALSE)&gt;=1),VLOOKUP($AK3&amp;"_1",$A1:$X35,AX$10,FALSE)/1,IF(AND(VLOOKUP($AJ3&amp;"_1",$A1:$X35,AX$9,FALSE)&gt;=1,VLOOKUP($AK3&amp;"_1",$A1:$X35,AX$10,FALSE)&lt;1),1/VLOOKUP($AJ3&amp;"_1",$A1:$X35,AX$9,FALSE),IF(AND(VLOOKUP($AJ3&amp;"_1",$A1:$X35,AX$9,FALSE)&gt;=1,VLOOKUP($AK3&amp;"_1",$A1:$X35,AX$10,FALSE)&gt;=1),VLOOKUP($AK3&amp;"_1",$A1:$X35,AX$10,FALSE)/VLOOKUP($AJ3&amp;"_1",$A1:$X35,AX$9,FALSE)))))</f>
      </c>
      <c r="AY3" s="318">
        <f>IF(AND(VLOOKUP($AJ3&amp;"_1",$A1:$X35,AY$9,FALSE)&lt;1,VLOOKUP($AK3&amp;"_1",$A1:$X35,AY$10,FALSE)&lt;1),1,IF(AND(VLOOKUP($AJ3&amp;"_1",$A1:$X35,AY$9,FALSE)&lt;1,VLOOKUP($AK3&amp;"_1",$A1:$X35,AY$10,FALSE)&gt;=1),VLOOKUP($AK3&amp;"_1",$A1:$X35,AY$10,FALSE)/1,IF(AND(VLOOKUP($AJ3&amp;"_1",$A1:$X35,AY$9,FALSE)&gt;=1,VLOOKUP($AK3&amp;"_1",$A1:$X35,AY$10,FALSE)&lt;1),1/VLOOKUP($AJ3&amp;"_1",$A1:$X35,AY$9,FALSE),IF(AND(VLOOKUP($AJ3&amp;"_1",$A1:$X35,AY$9,FALSE)&gt;=1,VLOOKUP($AK3&amp;"_1",$A1:$X35,AY$10,FALSE)&gt;=1),VLOOKUP($AK3&amp;"_1",$A1:$X35,AY$10,FALSE)/VLOOKUP($AJ3&amp;"_1",$A1:$X35,AY$9,FALSE)))))</f>
      </c>
      <c r="AZ3" s="318">
        <f>IF(AND(VLOOKUP($AJ3&amp;"_1",$A1:$X35,AZ$9,FALSE)&lt;1,VLOOKUP($AK3&amp;"_1",$A1:$X35,AZ$10,FALSE)&lt;1),1,IF(AND(VLOOKUP($AJ3&amp;"_1",$A1:$X35,AZ$9,FALSE)&lt;1,VLOOKUP($AK3&amp;"_1",$A1:$X35,AZ$10,FALSE)&gt;=1),VLOOKUP($AK3&amp;"_1",$A1:$X35,AZ$10,FALSE)/1,IF(AND(VLOOKUP($AJ3&amp;"_1",$A1:$X35,AZ$9,FALSE)&gt;=1,VLOOKUP($AK3&amp;"_1",$A1:$X35,AZ$10,FALSE)&lt;1),1/VLOOKUP($AJ3&amp;"_1",$A1:$X35,AZ$9,FALSE),IF(AND(VLOOKUP($AJ3&amp;"_1",$A1:$X35,AZ$9,FALSE)&gt;=1,VLOOKUP($AK3&amp;"_1",$A1:$X35,AZ$10,FALSE)&gt;=1),VLOOKUP($AK3&amp;"_1",$A1:$X35,AZ$10,FALSE)/VLOOKUP($AJ3&amp;"_1",$A1:$X35,AZ$9,FALSE)))))</f>
      </c>
      <c r="BA3" s="318">
        <f>IF(AND(VLOOKUP($AJ3&amp;"_1",$A1:$X35,BA$9,FALSE)&lt;1,VLOOKUP($AK3&amp;"_1",$A1:$X35,BA$10,FALSE)&lt;1),1,IF(AND(VLOOKUP($AJ3&amp;"_1",$A1:$X35,BA$9,FALSE)&lt;1,VLOOKUP($AK3&amp;"_1",$A1:$X35,BA$10,FALSE)&gt;=1),VLOOKUP($AK3&amp;"_1",$A1:$X35,BA$10,FALSE)/1,IF(AND(VLOOKUP($AJ3&amp;"_1",$A1:$X35,BA$9,FALSE)&gt;=1,VLOOKUP($AK3&amp;"_1",$A1:$X35,BA$10,FALSE)&lt;1),1/VLOOKUP($AJ3&amp;"_1",$A1:$X35,BA$9,FALSE),IF(AND(VLOOKUP($AJ3&amp;"_1",$A1:$X35,BA$9,FALSE)&gt;=1,VLOOKUP($AK3&amp;"_1",$A1:$X35,BA$10,FALSE)&gt;=1),VLOOKUP($AK3&amp;"_1",$A1:$X35,BA$10,FALSE)/VLOOKUP($AJ3&amp;"_1",$A1:$X35,BA$9,FALSE)))))</f>
      </c>
      <c r="BB3" s="318">
        <f>IF(AND(VLOOKUP($AJ3&amp;"_1",$A1:$X35,BB$9,FALSE)&lt;1,VLOOKUP($AK3&amp;"_1",$A1:$X35,BB$10,FALSE)&lt;1),1,IF(AND(VLOOKUP($AJ3&amp;"_1",$A1:$X35,BB$9,FALSE)&lt;1,VLOOKUP($AK3&amp;"_1",$A1:$X35,BB$10,FALSE)&gt;=1),VLOOKUP($AK3&amp;"_1",$A1:$X35,BB$10,FALSE)/1,IF(AND(VLOOKUP($AJ3&amp;"_1",$A1:$X35,BB$9,FALSE)&gt;=1,VLOOKUP($AK3&amp;"_1",$A1:$X35,BB$10,FALSE)&lt;1),1/VLOOKUP($AJ3&amp;"_1",$A1:$X35,BB$9,FALSE),IF(AND(VLOOKUP($AJ3&amp;"_1",$A1:$X35,BB$9,FALSE)&gt;=1,VLOOKUP($AK3&amp;"_1",$A1:$X35,BB$10,FALSE)&gt;=1),VLOOKUP($AK3&amp;"_1",$A1:$X35,BB$10,FALSE)/VLOOKUP($AJ3&amp;"_1",$A1:$X35,BB$9,FALSE)))))</f>
      </c>
      <c r="BC3" s="318">
        <f>IF(AND(VLOOKUP($AJ3&amp;"_1",$A1:$X35,BC$9,FALSE)&lt;1,VLOOKUP($AK3&amp;"_1",$A1:$X35,BC$10,FALSE)&lt;1),1,IF(AND(VLOOKUP($AJ3&amp;"_1",$A1:$X35,BC$9,FALSE)&lt;1,VLOOKUP($AK3&amp;"_1",$A1:$X35,BC$10,FALSE)&gt;=1),VLOOKUP($AK3&amp;"_1",$A1:$X35,BC$10,FALSE)/1,IF(AND(VLOOKUP($AJ3&amp;"_1",$A1:$X35,BC$9,FALSE)&gt;=1,VLOOKUP($AK3&amp;"_1",$A1:$X35,BC$10,FALSE)&lt;1),1/VLOOKUP($AJ3&amp;"_1",$A1:$X35,BC$9,FALSE),IF(AND(VLOOKUP($AJ3&amp;"_1",$A1:$X35,BC$9,FALSE)&gt;=1,VLOOKUP($AK3&amp;"_1",$A1:$X35,BC$10,FALSE)&gt;=1),VLOOKUP($AK3&amp;"_1",$A1:$X35,BC$10,FALSE)/VLOOKUP($AJ3&amp;"_1",$A1:$X35,BC$9,FALSE)))))</f>
      </c>
      <c r="BD3" s="318">
        <f>IF(AND(VLOOKUP($AJ3&amp;"_1",$A1:$X35,BD$9,FALSE)&lt;1,VLOOKUP($AK3&amp;"_1",$A1:$X35,BD$10,FALSE)&lt;1),1,IF(AND(VLOOKUP($AJ3&amp;"_1",$A1:$X35,BD$9,FALSE)&lt;1,VLOOKUP($AK3&amp;"_1",$A1:$X35,BD$10,FALSE)&gt;=1),VLOOKUP($AK3&amp;"_1",$A1:$X35,BD$10,FALSE)/1,IF(AND(VLOOKUP($AJ3&amp;"_1",$A1:$X35,BD$9,FALSE)&gt;=1,VLOOKUP($AK3&amp;"_1",$A1:$X35,BD$10,FALSE)&lt;1),1/VLOOKUP($AJ3&amp;"_1",$A1:$X35,BD$9,FALSE),IF(AND(VLOOKUP($AJ3&amp;"_1",$A1:$X35,BD$9,FALSE)&gt;=1,VLOOKUP($AK3&amp;"_1",$A1:$X35,BD$10,FALSE)&gt;=1),VLOOKUP($AK3&amp;"_1",$A1:$X35,BD$10,FALSE)/VLOOKUP($AJ3&amp;"_1",$A1:$X35,BD$9,FALSE)))))</f>
      </c>
      <c r="BE3" s="318">
        <f>IF(AND(VLOOKUP($AJ3&amp;"_1",$A1:$X35,BE$9,FALSE)&lt;1,VLOOKUP($AK3&amp;"_1",$A1:$X35,BE$10,FALSE)&lt;1),0,IF(AND(VLOOKUP($AJ3&amp;"_1",$A1:$X35,BE$9,FALSE)&lt;1,VLOOKUP($AK3&amp;"_1",$A1:$X35,BE$10,FALSE)&gt;=1),VLOOKUP($AK3&amp;"_1",$A1:$X35,BE$10,FALSE)/1,IF(AND(VLOOKUP($AJ3&amp;"_1",$A1:$X35,BE$9,FALSE)&gt;=1,VLOOKUP($AK3&amp;"_1",$A1:$X35,BE$10,FALSE)&lt;1),0,IF(AND(VLOOKUP($AJ3&amp;"_1",$A1:$X35,BE$9,FALSE)&gt;=1,VLOOKUP($AK3&amp;"_1",$A1:$X35,BE$10,FALSE)&gt;=1),VLOOKUP($AK3&amp;"_1",$A1:$X35,BE$10,FALSE)/VLOOKUP($AJ3&amp;"_1",$A1:$X35,BE$9,FALSE)))))</f>
      </c>
      <c r="BF3" s="318">
        <f>IF(AND(VLOOKUP($AJ3&amp;"_1",$A1:$X35,BF$9,FALSE)&lt;1,VLOOKUP($AK3&amp;"_1",$A1:$X35,BF$10,FALSE)&lt;1),0,IF(AND(VLOOKUP($AJ3&amp;"_1",$A1:$X35,BF$9,FALSE)&lt;1,VLOOKUP($AK3&amp;"_1",$A1:$X35,BF$10,FALSE)&gt;=1),VLOOKUP($AK3&amp;"_1",$A1:$X35,BF$10,FALSE)/1,IF(AND(VLOOKUP($AJ3&amp;"_1",$A1:$X35,BF$9,FALSE)&gt;=1,VLOOKUP($AK3&amp;"_1",$A1:$X35,BF$10,FALSE)&lt;1),0,IF(AND(VLOOKUP($AJ3&amp;"_1",$A1:$X35,BF$9,FALSE)&gt;=1,VLOOKUP($AK3&amp;"_1",$A1:$X35,BF$10,FALSE)&gt;=1),VLOOKUP($AK3&amp;"_1",$A1:$X35,BF$10,FALSE)/VLOOKUP($AJ3&amp;"_1",$A1:$X35,BF$9,FALSE)))))</f>
      </c>
      <c r="BG3" s="130"/>
      <c r="BH3" t="s" s="294">
        <f>BI3&amp;"_"&amp;IF(BJ3="男性",1,IF(BJ3="女性",2,IF(BJ3="合計",3)))</f>
        <v>273</v>
      </c>
      <c r="BI3" s="312">
        <v>2025</v>
      </c>
      <c r="BJ3" t="s" s="313">
        <v>107</v>
      </c>
      <c r="BK3" s="314">
        <f>CM4*AK$13</f>
      </c>
      <c r="BL3" s="314">
        <v>30.3795466839908</v>
      </c>
      <c r="BM3" s="314">
        <v>39.0810617225966</v>
      </c>
      <c r="BN3" s="314">
        <v>35.5492368163392</v>
      </c>
      <c r="BO3" s="314">
        <v>36.4877345430541</v>
      </c>
      <c r="BP3" s="314">
        <v>22.1135099379869</v>
      </c>
      <c r="BQ3" s="314">
        <v>36.1449969710007</v>
      </c>
      <c r="BR3" s="314">
        <v>32.3146800489547</v>
      </c>
      <c r="BS3" s="314">
        <v>49.9344409661073</v>
      </c>
      <c r="BT3" s="314">
        <v>75.2735851500464</v>
      </c>
      <c r="BU3" s="314">
        <v>68.13864804260611</v>
      </c>
      <c r="BV3" s="314">
        <v>61.2224551578751</v>
      </c>
      <c r="BW3" s="314">
        <v>80.7386881521853</v>
      </c>
      <c r="BX3" s="314">
        <v>150.100796057888</v>
      </c>
      <c r="BY3" s="314">
        <v>140.128004311048</v>
      </c>
      <c r="BZ3" s="314">
        <v>145.576038076578</v>
      </c>
      <c r="CA3" s="314">
        <v>95.431993562182</v>
      </c>
      <c r="CB3" s="314">
        <v>73.9168612025975</v>
      </c>
      <c r="CC3" s="314">
        <v>32.7943226330651</v>
      </c>
      <c r="CD3" s="314">
        <v>5.56905604625111</v>
      </c>
      <c r="CE3" s="314">
        <v>0.07071067811865479</v>
      </c>
      <c r="CF3" s="314">
        <f>SUM(BK3:CE3)</f>
      </c>
      <c r="CG3" s="314">
        <f>BL3*3/5+BM3*3/5</f>
        <v>41.6763650439524</v>
      </c>
      <c r="CH3" s="314">
        <f>BM3*2/5+BN3*1/5</f>
        <v>22.7422720523065</v>
      </c>
      <c r="CI3" s="314">
        <f>SUM(BX3:CE3)</f>
        <v>643.587782567728</v>
      </c>
      <c r="CJ3" s="314">
        <f>SUM(BZ3:CE3)</f>
        <v>353.358982198792</v>
      </c>
      <c r="CK3" s="315">
        <f>CI3/CF3</f>
      </c>
      <c r="CL3" s="315">
        <f>CJ3/CF3</f>
      </c>
      <c r="CM3" s="314">
        <f>SUM(BO3:BR3)</f>
        <v>127.060921500996</v>
      </c>
      <c r="CN3" s="130"/>
      <c r="CO3" t="s" s="294">
        <f>CP3&amp;"_"&amp;IF(CQ3="男性",1,IF(CQ3="女性",2,IF(CQ3="合計",3)))</f>
        <v>273</v>
      </c>
      <c r="CP3" s="312">
        <v>2025</v>
      </c>
      <c r="CQ3" t="s" s="313">
        <v>107</v>
      </c>
      <c r="CR3" s="314">
        <v>24.5144591974761</v>
      </c>
      <c r="CS3" s="314">
        <v>30.3795466839908</v>
      </c>
      <c r="CT3" s="314">
        <v>40.0810617225966</v>
      </c>
      <c r="CU3" s="314">
        <v>35.5492368163392</v>
      </c>
      <c r="CV3" s="314">
        <v>36.4877345430541</v>
      </c>
      <c r="CW3" s="314">
        <v>24.1135099379869</v>
      </c>
      <c r="CX3" s="314">
        <v>36.1449969710007</v>
      </c>
      <c r="CY3" s="314">
        <v>32.3146800489547</v>
      </c>
      <c r="CZ3" s="314">
        <v>49.9344409661073</v>
      </c>
      <c r="DA3" s="314">
        <v>75.2735851500464</v>
      </c>
      <c r="DB3" s="314">
        <v>68.13864804260611</v>
      </c>
      <c r="DC3" s="314">
        <v>61.2224551578751</v>
      </c>
      <c r="DD3" s="314">
        <v>80.7386881521853</v>
      </c>
      <c r="DE3" s="314">
        <f>BX3</f>
        <v>150.100796057888</v>
      </c>
      <c r="DF3" s="314">
        <f>BY3</f>
        <v>140.128004311048</v>
      </c>
      <c r="DG3" s="314">
        <f>BZ3</f>
        <v>145.576038076578</v>
      </c>
      <c r="DH3" s="314">
        <f>CA3</f>
        <v>95.431993562182</v>
      </c>
      <c r="DI3" s="314">
        <f>CB3</f>
        <v>73.9168612025975</v>
      </c>
      <c r="DJ3" s="314">
        <f>CC3</f>
        <v>32.7943226330651</v>
      </c>
      <c r="DK3" s="314">
        <f>CD3</f>
        <v>5.56905604625111</v>
      </c>
      <c r="DL3" s="314">
        <f>CE3</f>
        <v>0.07071067811865479</v>
      </c>
      <c r="DM3" s="314">
        <f>SUM(CR3:DL3)</f>
        <v>1238.480825957950</v>
      </c>
      <c r="DN3" s="314">
        <f>CS3*3/5+CT3*3/5</f>
        <v>42.2763650439524</v>
      </c>
      <c r="DO3" s="314">
        <f>CT3*2/5+CU3*1/5</f>
        <v>23.1422720523065</v>
      </c>
      <c r="DP3" s="314">
        <f>SUM(DE3:DL3)</f>
        <v>643.587782567728</v>
      </c>
      <c r="DQ3" s="314">
        <f>SUM(DG3:DL3)</f>
        <v>353.358982198792</v>
      </c>
      <c r="DR3" s="315">
        <f>DP3/DM3</f>
        <v>0.519659060583292</v>
      </c>
      <c r="DS3" s="315">
        <f>DQ3/DM3</f>
        <v>0.285316473854549</v>
      </c>
      <c r="DT3" s="314">
        <f>SUM(CV3:CY3)</f>
        <v>129.060921500996</v>
      </c>
      <c r="DU3" s="130"/>
      <c r="DV3" s="305"/>
      <c r="DW3" s="306"/>
      <c r="DX3" s="312">
        <v>2025</v>
      </c>
      <c r="DY3" t="s" s="313">
        <v>107</v>
      </c>
      <c r="DZ3" s="314">
        <f>BK$3</f>
      </c>
      <c r="EA3" s="314">
        <f>BL$3</f>
        <v>30.3795466839908</v>
      </c>
      <c r="EB3" s="314">
        <f>BM$3</f>
        <v>39.0810617225966</v>
      </c>
      <c r="EC3" s="314">
        <f>BN$3</f>
        <v>35.5492368163392</v>
      </c>
      <c r="ED3" s="314">
        <f>BO$3</f>
        <v>36.4877345430541</v>
      </c>
      <c r="EE3" s="314">
        <f>BP$3+DX1</f>
      </c>
      <c r="EF3" s="314">
        <f>BQ$3+DX1</f>
      </c>
      <c r="EG3" s="314">
        <f>BR$3+DX1</f>
      </c>
      <c r="EH3" s="314">
        <f>BS$3</f>
        <v>49.9344409661073</v>
      </c>
      <c r="EI3" s="314">
        <f>BT$3</f>
        <v>75.2735851500464</v>
      </c>
      <c r="EJ3" s="314">
        <f>BU$3</f>
        <v>68.13864804260611</v>
      </c>
      <c r="EK3" s="314">
        <f>BV$3</f>
        <v>61.2224551578751</v>
      </c>
      <c r="EL3" s="314">
        <f>BW$3</f>
        <v>80.7386881521853</v>
      </c>
      <c r="EM3" s="314">
        <f>BX$3</f>
        <v>150.100796057888</v>
      </c>
      <c r="EN3" s="314">
        <f>BY$3</f>
        <v>140.128004311048</v>
      </c>
      <c r="EO3" s="314">
        <f>BZ$3</f>
        <v>145.576038076578</v>
      </c>
      <c r="EP3" s="314">
        <f>CA$3</f>
        <v>95.431993562182</v>
      </c>
      <c r="EQ3" s="314">
        <f>CB$3</f>
        <v>73.9168612025975</v>
      </c>
      <c r="ER3" s="314">
        <f>CC$3</f>
        <v>32.7943226330651</v>
      </c>
      <c r="ES3" s="314">
        <f>CD$3</f>
        <v>5.56905604625111</v>
      </c>
      <c r="ET3" s="314">
        <f>CE$3</f>
        <v>0.07071067811865479</v>
      </c>
      <c r="EU3" s="314">
        <f>SUM(DZ3:ET3)</f>
      </c>
      <c r="EV3" s="314">
        <f>EA3*3/5+EB3*3/5</f>
        <v>41.6763650439524</v>
      </c>
      <c r="EW3" s="314">
        <f>EB3*2/5+EC3*1/5</f>
        <v>22.7422720523065</v>
      </c>
      <c r="EX3" s="314">
        <f>SUM(EM3:ET3)</f>
        <v>643.587782567728</v>
      </c>
      <c r="EY3" s="314">
        <f>SUM(EO3:ET3)</f>
        <v>353.358982198792</v>
      </c>
      <c r="EZ3" s="315">
        <f>EX3/EU3</f>
      </c>
      <c r="FA3" s="315">
        <f>EY3/EU3</f>
      </c>
      <c r="FB3" s="314">
        <f>SUM(ED3:EG3)</f>
      </c>
    </row>
    <row r="4" ht="16" customHeight="1">
      <c r="A4" t="s" s="282">
        <f>B4&amp;"_"&amp;IF(C4="男性",1,IF(C4="女性",2,IF(C4="合計",3)))</f>
        <v>274</v>
      </c>
      <c r="B4" s="319">
        <v>2005</v>
      </c>
      <c r="C4" t="s" s="320">
        <v>108</v>
      </c>
      <c r="D4" s="321">
        <v>59</v>
      </c>
      <c r="E4" s="321">
        <v>56</v>
      </c>
      <c r="F4" s="321">
        <v>89</v>
      </c>
      <c r="G4" s="321">
        <v>110</v>
      </c>
      <c r="H4" s="321">
        <v>75</v>
      </c>
      <c r="I4" s="321">
        <v>99</v>
      </c>
      <c r="J4" s="321">
        <v>70</v>
      </c>
      <c r="K4" s="321">
        <v>70</v>
      </c>
      <c r="L4" s="321">
        <v>105</v>
      </c>
      <c r="M4" s="321">
        <v>134</v>
      </c>
      <c r="N4" s="321">
        <v>170</v>
      </c>
      <c r="O4" s="321">
        <v>201</v>
      </c>
      <c r="P4" s="321">
        <v>177</v>
      </c>
      <c r="Q4" s="321">
        <v>213</v>
      </c>
      <c r="R4" s="321">
        <v>244</v>
      </c>
      <c r="S4" s="321">
        <v>212</v>
      </c>
      <c r="T4" s="321">
        <v>150</v>
      </c>
      <c r="U4" s="321">
        <v>98</v>
      </c>
      <c r="V4" s="321">
        <v>38</v>
      </c>
      <c r="W4" s="321">
        <v>12</v>
      </c>
      <c r="X4" s="321">
        <v>0</v>
      </c>
      <c r="Y4" s="321">
        <f>SUM(D4:X4)</f>
        <v>2382</v>
      </c>
      <c r="Z4" s="321">
        <f>E4*3/5+F4*3/5</f>
        <v>87</v>
      </c>
      <c r="AA4" s="321">
        <f>F4*2/5+G4*1/5</f>
        <v>57.6</v>
      </c>
      <c r="AB4" s="321">
        <f>SUM(Q4:X4)</f>
        <v>967</v>
      </c>
      <c r="AC4" s="321">
        <f>SUM(S4:X4)</f>
        <v>510</v>
      </c>
      <c r="AD4" s="322">
        <f>AB4/Y4</f>
        <v>0.405961376994123</v>
      </c>
      <c r="AE4" s="322">
        <f>AC4/Y4</f>
        <v>0.214105793450882</v>
      </c>
      <c r="AF4" s="321">
        <f>SUM(H4:K4)</f>
        <v>314</v>
      </c>
      <c r="AG4" s="130"/>
      <c r="AH4" s="316"/>
      <c r="AI4" t="s" s="323">
        <v>272</v>
      </c>
      <c r="AJ4" s="324">
        <f>AJ3</f>
        <v>2015</v>
      </c>
      <c r="AK4" s="324">
        <f>AK3</f>
        <v>2020</v>
      </c>
      <c r="AL4" t="s" s="325">
        <v>108</v>
      </c>
      <c r="AM4" s="326">
        <f>IF(AND(VLOOKUP($AJ4&amp;"_2",$A1:$X35,AM$9,FALSE)&lt;1,VLOOKUP($AK4&amp;"_2",$A1:$X35,AM$10,FALSE)&lt;1),1,IF(AND(VLOOKUP($AJ4&amp;"_2",$A1:$X35,AM$9,FALSE)&lt;1,VLOOKUP($AK4&amp;"_2",$A1:$X35,AM$10,FALSE)&gt;=1),VLOOKUP($AK4&amp;"_2",$A1:$X35,AM$10,FALSE)/1,IF(AND(VLOOKUP($AJ4&amp;"_2",$A1:$X35,AM$9,FALSE)&gt;=1,VLOOKUP($AK4&amp;"_2",$A1:$X35,AM$10,FALSE)&lt;1),1/VLOOKUP($AJ4&amp;"_2",$A1:$X35,AM$9,FALSE),IF(AND(VLOOKUP($AJ4&amp;"_2",$A1:$X35,AM$9,FALSE)&gt;=1,VLOOKUP($AK4&amp;"_2",$A1:$X35,AM$10,FALSE)&gt;=1),VLOOKUP($AK4&amp;"_2",$A1:$X35,AM$10,FALSE)/VLOOKUP($AJ4&amp;"_2",$A1:$X35,AM$9,FALSE)))))</f>
      </c>
      <c r="AN4" s="326">
        <f>IF(AND(VLOOKUP($AJ4&amp;"_2",$A1:$X35,AN$9,FALSE)&lt;1,VLOOKUP($AK4&amp;"_2",$A1:$X35,AN$10,FALSE)&lt;1),1,IF(AND(VLOOKUP($AJ4&amp;"_2",$A1:$X35,AN$9,FALSE)&lt;1,VLOOKUP($AK4&amp;"_2",$A1:$X35,AN$10,FALSE)&gt;=1),VLOOKUP($AK4&amp;"_2",$A1:$X35,AN$10,FALSE)/1,IF(AND(VLOOKUP($AJ4&amp;"_2",$A1:$X35,AN$9,FALSE)&gt;=1,VLOOKUP($AK4&amp;"_2",$A1:$X35,AN$10,FALSE)&lt;1),1/VLOOKUP($AJ4&amp;"_2",$A1:$X35,AN$9,FALSE),IF(AND(VLOOKUP($AJ4&amp;"_2",$A1:$X35,AN$9,FALSE)&gt;=1,VLOOKUP($AK4&amp;"_2",$A1:$X35,AN$10,FALSE)&gt;=1),VLOOKUP($AK4&amp;"_2",$A1:$X35,AN$10,FALSE)/VLOOKUP($AJ4&amp;"_2",$A1:$X35,AN$9,FALSE)))))</f>
      </c>
      <c r="AO4" s="326">
        <f>IF(AND(VLOOKUP($AJ4&amp;"_2",$A1:$X35,AO$9,FALSE)&lt;1,VLOOKUP($AK4&amp;"_2",$A1:$X35,AO$10,FALSE)&lt;1),1,IF(AND(VLOOKUP($AJ4&amp;"_2",$A1:$X35,AO$9,FALSE)&lt;1,VLOOKUP($AK4&amp;"_2",$A1:$X35,AO$10,FALSE)&gt;=1),VLOOKUP($AK4&amp;"_2",$A1:$X35,AO$10,FALSE)/1,IF(AND(VLOOKUP($AJ4&amp;"_2",$A1:$X35,AO$9,FALSE)&gt;=1,VLOOKUP($AK4&amp;"_2",$A1:$X35,AO$10,FALSE)&lt;1),1/VLOOKUP($AJ4&amp;"_2",$A1:$X35,AO$9,FALSE),IF(AND(VLOOKUP($AJ4&amp;"_2",$A1:$X35,AO$9,FALSE)&gt;=1,VLOOKUP($AK4&amp;"_2",$A1:$X35,AO$10,FALSE)&gt;=1),VLOOKUP($AK4&amp;"_2",$A1:$X35,AO$10,FALSE)/VLOOKUP($AJ4&amp;"_2",$A1:$X35,AO$9,FALSE)))))</f>
      </c>
      <c r="AP4" s="326">
        <f>IF(AND(VLOOKUP($AJ4&amp;"_2",$A1:$X35,AP$9,FALSE)&lt;1,VLOOKUP($AK4&amp;"_2",$A1:$X35,AP$10,FALSE)&lt;1),1,IF(AND(VLOOKUP($AJ4&amp;"_2",$A1:$X35,AP$9,FALSE)&lt;1,VLOOKUP($AK4&amp;"_2",$A1:$X35,AP$10,FALSE)&gt;=1),VLOOKUP($AK4&amp;"_2",$A1:$X35,AP$10,FALSE)/1,IF(AND(VLOOKUP($AJ4&amp;"_2",$A1:$X35,AP$9,FALSE)&gt;=1,VLOOKUP($AK4&amp;"_2",$A1:$X35,AP$10,FALSE)&lt;1),1/VLOOKUP($AJ4&amp;"_2",$A1:$X35,AP$9,FALSE),IF(AND(VLOOKUP($AJ4&amp;"_2",$A1:$X35,AP$9,FALSE)&gt;=1,VLOOKUP($AK4&amp;"_2",$A1:$X35,AP$10,FALSE)&gt;=1),VLOOKUP($AK4&amp;"_2",$A1:$X35,AP$10,FALSE)/VLOOKUP($AJ4&amp;"_2",$A1:$X35,AP$9,FALSE)))))</f>
      </c>
      <c r="AQ4" s="326">
        <f>IF(AND(VLOOKUP($AJ4&amp;"_2",$A1:$X35,AQ$9,FALSE)&lt;1,VLOOKUP($AK4&amp;"_2",$A1:$X35,AQ$10,FALSE)&lt;1),1,IF(AND(VLOOKUP($AJ4&amp;"_2",$A1:$X35,AQ$9,FALSE)&lt;1,VLOOKUP($AK4&amp;"_2",$A1:$X35,AQ$10,FALSE)&gt;=1),VLOOKUP($AK4&amp;"_2",$A1:$X35,AQ$10,FALSE)/1,IF(AND(VLOOKUP($AJ4&amp;"_2",$A1:$X35,AQ$9,FALSE)&gt;=1,VLOOKUP($AK4&amp;"_2",$A1:$X35,AQ$10,FALSE)&lt;1),1/VLOOKUP($AJ4&amp;"_2",$A1:$X35,AQ$9,FALSE),IF(AND(VLOOKUP($AJ4&amp;"_2",$A1:$X35,AQ$9,FALSE)&gt;=1,VLOOKUP($AK4&amp;"_2",$A1:$X35,AQ$10,FALSE)&gt;=1),VLOOKUP($AK4&amp;"_2",$A1:$X35,AQ$10,FALSE)/VLOOKUP($AJ4&amp;"_2",$A1:$X35,AQ$9,FALSE)))))</f>
      </c>
      <c r="AR4" s="326">
        <f>IF(AND(VLOOKUP($AJ4&amp;"_2",$A1:$X35,AR$9,FALSE)&lt;1,VLOOKUP($AK4&amp;"_2",$A1:$X35,AR$10,FALSE)&lt;1),1,IF(AND(VLOOKUP($AJ4&amp;"_2",$A1:$X35,AR$9,FALSE)&lt;1,VLOOKUP($AK4&amp;"_2",$A1:$X35,AR$10,FALSE)&gt;=1),VLOOKUP($AK4&amp;"_2",$A1:$X35,AR$10,FALSE)/1,IF(AND(VLOOKUP($AJ4&amp;"_2",$A1:$X35,AR$9,FALSE)&gt;=1,VLOOKUP($AK4&amp;"_2",$A1:$X35,AR$10,FALSE)&lt;1),1/VLOOKUP($AJ4&amp;"_2",$A1:$X35,AR$9,FALSE),IF(AND(VLOOKUP($AJ4&amp;"_2",$A1:$X35,AR$9,FALSE)&gt;=1,VLOOKUP($AK4&amp;"_2",$A1:$X35,AR$10,FALSE)&gt;=1),VLOOKUP($AK4&amp;"_2",$A1:$X35,AR$10,FALSE)/VLOOKUP($AJ4&amp;"_2",$A1:$X35,AR$9,FALSE)))))</f>
      </c>
      <c r="AS4" s="326">
        <f>IF(AND(VLOOKUP($AJ4&amp;"_2",$A1:$X35,AS$9,FALSE)&lt;1,VLOOKUP($AK4&amp;"_2",$A1:$X35,AS$10,FALSE)&lt;1),1,IF(AND(VLOOKUP($AJ4&amp;"_2",$A1:$X35,AS$9,FALSE)&lt;1,VLOOKUP($AK4&amp;"_2",$A1:$X35,AS$10,FALSE)&gt;=1),VLOOKUP($AK4&amp;"_2",$A1:$X35,AS$10,FALSE)/1,IF(AND(VLOOKUP($AJ4&amp;"_2",$A1:$X35,AS$9,FALSE)&gt;=1,VLOOKUP($AK4&amp;"_2",$A1:$X35,AS$10,FALSE)&lt;1),1/VLOOKUP($AJ4&amp;"_2",$A1:$X35,AS$9,FALSE),IF(AND(VLOOKUP($AJ4&amp;"_2",$A1:$X35,AS$9,FALSE)&gt;=1,VLOOKUP($AK4&amp;"_2",$A1:$X35,AS$10,FALSE)&gt;=1),VLOOKUP($AK4&amp;"_2",$A1:$X35,AS$10,FALSE)/VLOOKUP($AJ4&amp;"_2",$A1:$X35,AS$9,FALSE)))))</f>
      </c>
      <c r="AT4" s="326">
        <f>IF(AND(VLOOKUP($AJ4&amp;"_2",$A1:$X35,AT$9,FALSE)&lt;1,VLOOKUP($AK4&amp;"_2",$A1:$X35,AT$10,FALSE)&lt;1),1,IF(AND(VLOOKUP($AJ4&amp;"_2",$A1:$X35,AT$9,FALSE)&lt;1,VLOOKUP($AK4&amp;"_2",$A1:$X35,AT$10,FALSE)&gt;=1),VLOOKUP($AK4&amp;"_2",$A1:$X35,AT$10,FALSE)/1,IF(AND(VLOOKUP($AJ4&amp;"_2",$A1:$X35,AT$9,FALSE)&gt;=1,VLOOKUP($AK4&amp;"_2",$A1:$X35,AT$10,FALSE)&lt;1),1/VLOOKUP($AJ4&amp;"_2",$A1:$X35,AT$9,FALSE),IF(AND(VLOOKUP($AJ4&amp;"_2",$A1:$X35,AT$9,FALSE)&gt;=1,VLOOKUP($AK4&amp;"_2",$A1:$X35,AT$10,FALSE)&gt;=1),VLOOKUP($AK4&amp;"_2",$A1:$X35,AT$10,FALSE)/VLOOKUP($AJ4&amp;"_2",$A1:$X35,AT$9,FALSE)))))</f>
      </c>
      <c r="AU4" s="326">
        <f>IF(AND(VLOOKUP($AJ4&amp;"_2",$A1:$X35,AU$9,FALSE)&lt;1,VLOOKUP($AK4&amp;"_2",$A1:$X35,AU$10,FALSE)&lt;1),1,IF(AND(VLOOKUP($AJ4&amp;"_2",$A1:$X35,AU$9,FALSE)&lt;1,VLOOKUP($AK4&amp;"_2",$A1:$X35,AU$10,FALSE)&gt;=1),VLOOKUP($AK4&amp;"_2",$A1:$X35,AU$10,FALSE)/1,IF(AND(VLOOKUP($AJ4&amp;"_2",$A1:$X35,AU$9,FALSE)&gt;=1,VLOOKUP($AK4&amp;"_2",$A1:$X35,AU$10,FALSE)&lt;1),1/VLOOKUP($AJ4&amp;"_2",$A1:$X35,AU$9,FALSE),IF(AND(VLOOKUP($AJ4&amp;"_2",$A1:$X35,AU$9,FALSE)&gt;=1,VLOOKUP($AK4&amp;"_2",$A1:$X35,AU$10,FALSE)&gt;=1),VLOOKUP($AK4&amp;"_2",$A1:$X35,AU$10,FALSE)/VLOOKUP($AJ4&amp;"_2",$A1:$X35,AU$9,FALSE)))))</f>
      </c>
      <c r="AV4" s="326">
        <f>IF(AND(VLOOKUP($AJ4&amp;"_2",$A1:$X35,AV$9,FALSE)&lt;1,VLOOKUP($AK4&amp;"_2",$A1:$X35,AV$10,FALSE)&lt;1),1,IF(AND(VLOOKUP($AJ4&amp;"_2",$A1:$X35,AV$9,FALSE)&lt;1,VLOOKUP($AK4&amp;"_2",$A1:$X35,AV$10,FALSE)&gt;=1),VLOOKUP($AK4&amp;"_2",$A1:$X35,AV$10,FALSE)/1,IF(AND(VLOOKUP($AJ4&amp;"_2",$A1:$X35,AV$9,FALSE)&gt;=1,VLOOKUP($AK4&amp;"_2",$A1:$X35,AV$10,FALSE)&lt;1),1/VLOOKUP($AJ4&amp;"_2",$A1:$X35,AV$9,FALSE),IF(AND(VLOOKUP($AJ4&amp;"_2",$A1:$X35,AV$9,FALSE)&gt;=1,VLOOKUP($AK4&amp;"_2",$A1:$X35,AV$10,FALSE)&gt;=1),VLOOKUP($AK4&amp;"_2",$A1:$X35,AV$10,FALSE)/VLOOKUP($AJ4&amp;"_2",$A1:$X35,AV$9,FALSE)))))</f>
      </c>
      <c r="AW4" s="326">
        <f>IF(AND(VLOOKUP($AJ4&amp;"_2",$A1:$X35,AW$9,FALSE)&lt;1,VLOOKUP($AK4&amp;"_2",$A1:$X35,AW$10,FALSE)&lt;1),1,IF(AND(VLOOKUP($AJ4&amp;"_2",$A1:$X35,AW$9,FALSE)&lt;1,VLOOKUP($AK4&amp;"_2",$A1:$X35,AW$10,FALSE)&gt;=1),VLOOKUP($AK4&amp;"_2",$A1:$X35,AW$10,FALSE)/1,IF(AND(VLOOKUP($AJ4&amp;"_2",$A1:$X35,AW$9,FALSE)&gt;=1,VLOOKUP($AK4&amp;"_2",$A1:$X35,AW$10,FALSE)&lt;1),1/VLOOKUP($AJ4&amp;"_2",$A1:$X35,AW$9,FALSE),IF(AND(VLOOKUP($AJ4&amp;"_2",$A1:$X35,AW$9,FALSE)&gt;=1,VLOOKUP($AK4&amp;"_2",$A1:$X35,AW$10,FALSE)&gt;=1),VLOOKUP($AK4&amp;"_2",$A1:$X35,AW$10,FALSE)/VLOOKUP($AJ4&amp;"_2",$A1:$X35,AW$9,FALSE)))))</f>
      </c>
      <c r="AX4" s="326">
        <f>IF(AND(VLOOKUP($AJ4&amp;"_2",$A1:$X35,AX$9,FALSE)&lt;1,VLOOKUP($AK4&amp;"_2",$A1:$X35,AX$10,FALSE)&lt;1),1,IF(AND(VLOOKUP($AJ4&amp;"_2",$A1:$X35,AX$9,FALSE)&lt;1,VLOOKUP($AK4&amp;"_2",$A1:$X35,AX$10,FALSE)&gt;=1),VLOOKUP($AK4&amp;"_2",$A1:$X35,AX$10,FALSE)/1,IF(AND(VLOOKUP($AJ4&amp;"_2",$A1:$X35,AX$9,FALSE)&gt;=1,VLOOKUP($AK4&amp;"_2",$A1:$X35,AX$10,FALSE)&lt;1),1/VLOOKUP($AJ4&amp;"_2",$A1:$X35,AX$9,FALSE),IF(AND(VLOOKUP($AJ4&amp;"_2",$A1:$X35,AX$9,FALSE)&gt;=1,VLOOKUP($AK4&amp;"_2",$A1:$X35,AX$10,FALSE)&gt;=1),VLOOKUP($AK4&amp;"_2",$A1:$X35,AX$10,FALSE)/VLOOKUP($AJ4&amp;"_2",$A1:$X35,AX$9,FALSE)))))</f>
      </c>
      <c r="AY4" s="326">
        <f>IF(AND(VLOOKUP($AJ4&amp;"_2",$A1:$X35,AY$9,FALSE)&lt;1,VLOOKUP($AK4&amp;"_2",$A1:$X35,AY$10,FALSE)&lt;1),1,IF(AND(VLOOKUP($AJ4&amp;"_2",$A1:$X35,AY$9,FALSE)&lt;1,VLOOKUP($AK4&amp;"_2",$A1:$X35,AY$10,FALSE)&gt;=1),VLOOKUP($AK4&amp;"_2",$A1:$X35,AY$10,FALSE)/1,IF(AND(VLOOKUP($AJ4&amp;"_2",$A1:$X35,AY$9,FALSE)&gt;=1,VLOOKUP($AK4&amp;"_2",$A1:$X35,AY$10,FALSE)&lt;1),1/VLOOKUP($AJ4&amp;"_2",$A1:$X35,AY$9,FALSE),IF(AND(VLOOKUP($AJ4&amp;"_2",$A1:$X35,AY$9,FALSE)&gt;=1,VLOOKUP($AK4&amp;"_2",$A1:$X35,AY$10,FALSE)&gt;=1),VLOOKUP($AK4&amp;"_2",$A1:$X35,AY$10,FALSE)/VLOOKUP($AJ4&amp;"_2",$A1:$X35,AY$9,FALSE)))))</f>
      </c>
      <c r="AZ4" s="326">
        <f>IF(AND(VLOOKUP($AJ4&amp;"_2",$A1:$X35,AZ$9,FALSE)&lt;1,VLOOKUP($AK4&amp;"_2",$A1:$X35,AZ$10,FALSE)&lt;1),1,IF(AND(VLOOKUP($AJ4&amp;"_2",$A1:$X35,AZ$9,FALSE)&lt;1,VLOOKUP($AK4&amp;"_2",$A1:$X35,AZ$10,FALSE)&gt;=1),VLOOKUP($AK4&amp;"_2",$A1:$X35,AZ$10,FALSE)/1,IF(AND(VLOOKUP($AJ4&amp;"_2",$A1:$X35,AZ$9,FALSE)&gt;=1,VLOOKUP($AK4&amp;"_2",$A1:$X35,AZ$10,FALSE)&lt;1),1/VLOOKUP($AJ4&amp;"_2",$A1:$X35,AZ$9,FALSE),IF(AND(VLOOKUP($AJ4&amp;"_2",$A1:$X35,AZ$9,FALSE)&gt;=1,VLOOKUP($AK4&amp;"_2",$A1:$X35,AZ$10,FALSE)&gt;=1),VLOOKUP($AK4&amp;"_2",$A1:$X35,AZ$10,FALSE)/VLOOKUP($AJ4&amp;"_2",$A1:$X35,AZ$9,FALSE)))))</f>
      </c>
      <c r="BA4" s="326">
        <f>IF(AND(VLOOKUP($AJ4&amp;"_2",$A1:$X35,BA$9,FALSE)&lt;1,VLOOKUP($AK4&amp;"_2",$A1:$X35,BA$10,FALSE)&lt;1),1,IF(AND(VLOOKUP($AJ4&amp;"_2",$A1:$X35,BA$9,FALSE)&lt;1,VLOOKUP($AK4&amp;"_2",$A1:$X35,BA$10,FALSE)&gt;=1),VLOOKUP($AK4&amp;"_2",$A1:$X35,BA$10,FALSE)/1,IF(AND(VLOOKUP($AJ4&amp;"_2",$A1:$X35,BA$9,FALSE)&gt;=1,VLOOKUP($AK4&amp;"_2",$A1:$X35,BA$10,FALSE)&lt;1),1/VLOOKUP($AJ4&amp;"_2",$A1:$X35,BA$9,FALSE),IF(AND(VLOOKUP($AJ4&amp;"_2",$A1:$X35,BA$9,FALSE)&gt;=1,VLOOKUP($AK4&amp;"_2",$A1:$X35,BA$10,FALSE)&gt;=1),VLOOKUP($AK4&amp;"_2",$A1:$X35,BA$10,FALSE)/VLOOKUP($AJ4&amp;"_2",$A1:$X35,BA$9,FALSE)))))</f>
      </c>
      <c r="BB4" s="326">
        <f>IF(AND(VLOOKUP($AJ4&amp;"_2",$A1:$X35,BB$9,FALSE)&lt;1,VLOOKUP($AK4&amp;"_2",$A1:$X35,BB$10,FALSE)&lt;1),1,IF(AND(VLOOKUP($AJ4&amp;"_2",$A1:$X35,BB$9,FALSE)&lt;1,VLOOKUP($AK4&amp;"_2",$A1:$X35,BB$10,FALSE)&gt;=1),VLOOKUP($AK4&amp;"_2",$A1:$X35,BB$10,FALSE)/1,IF(AND(VLOOKUP($AJ4&amp;"_2",$A1:$X35,BB$9,FALSE)&gt;=1,VLOOKUP($AK4&amp;"_2",$A1:$X35,BB$10,FALSE)&lt;1),1/VLOOKUP($AJ4&amp;"_2",$A1:$X35,BB$9,FALSE),IF(AND(VLOOKUP($AJ4&amp;"_2",$A1:$X35,BB$9,FALSE)&gt;=1,VLOOKUP($AK4&amp;"_2",$A1:$X35,BB$10,FALSE)&gt;=1),VLOOKUP($AK4&amp;"_2",$A1:$X35,BB$10,FALSE)/VLOOKUP($AJ4&amp;"_2",$A1:$X35,BB$9,FALSE)))))</f>
      </c>
      <c r="BC4" s="326">
        <f>IF(AND(VLOOKUP($AJ4&amp;"_2",$A1:$X35,BC$9,FALSE)&lt;1,VLOOKUP($AK4&amp;"_2",$A1:$X35,BC$10,FALSE)&lt;1),1,IF(AND(VLOOKUP($AJ4&amp;"_2",$A1:$X35,BC$9,FALSE)&lt;1,VLOOKUP($AK4&amp;"_2",$A1:$X35,BC$10,FALSE)&gt;=1),VLOOKUP($AK4&amp;"_2",$A1:$X35,BC$10,FALSE)/1,IF(AND(VLOOKUP($AJ4&amp;"_2",$A1:$X35,BC$9,FALSE)&gt;=1,VLOOKUP($AK4&amp;"_2",$A1:$X35,BC$10,FALSE)&lt;1),1/VLOOKUP($AJ4&amp;"_2",$A1:$X35,BC$9,FALSE),IF(AND(VLOOKUP($AJ4&amp;"_2",$A1:$X35,BC$9,FALSE)&gt;=1,VLOOKUP($AK4&amp;"_2",$A1:$X35,BC$10,FALSE)&gt;=1),VLOOKUP($AK4&amp;"_2",$A1:$X35,BC$10,FALSE)/VLOOKUP($AJ4&amp;"_2",$A1:$X35,BC$9,FALSE)))))</f>
      </c>
      <c r="BD4" s="326">
        <f>IF(AND(VLOOKUP($AJ4&amp;"_2",$A1:$X35,BD$9,FALSE)&lt;1,VLOOKUP($AK4&amp;"_2",$A1:$X35,BD$10,FALSE)&lt;1),1,IF(AND(VLOOKUP($AJ4&amp;"_2",$A1:$X35,BD$9,FALSE)&lt;1,VLOOKUP($AK4&amp;"_2",$A1:$X35,BD$10,FALSE)&gt;=1),VLOOKUP($AK4&amp;"_2",$A1:$X35,BD$10,FALSE)/1,IF(AND(VLOOKUP($AJ4&amp;"_2",$A1:$X35,BD$9,FALSE)&gt;=1,VLOOKUP($AK4&amp;"_2",$A1:$X35,BD$10,FALSE)&lt;1),1/VLOOKUP($AJ4&amp;"_2",$A1:$X35,BD$9,FALSE),IF(AND(VLOOKUP($AJ4&amp;"_2",$A1:$X35,BD$9,FALSE)&gt;=1,VLOOKUP($AK4&amp;"_2",$A1:$X35,BD$10,FALSE)&gt;=1),VLOOKUP($AK4&amp;"_2",$A1:$X35,BD$10,FALSE)/VLOOKUP($AJ4&amp;"_2",$A1:$X35,BD$9,FALSE)))))</f>
      </c>
      <c r="BE4" s="326">
        <f>IF(AND(VLOOKUP($AJ4&amp;"_2",$A1:$X35,BE$9,FALSE)&lt;1,VLOOKUP($AK4&amp;"_2",$A1:$X35,BE$10,FALSE)&lt;1),0,IF(AND(VLOOKUP($AJ4&amp;"_2",$A1:$X35,BE$9,FALSE)&lt;1,VLOOKUP($AK4&amp;"_2",$A1:$X35,BE$10,FALSE)&gt;=1),VLOOKUP($AK4&amp;"_2",$A1:$X35,BE$10,FALSE)/1,IF(AND(VLOOKUP($AJ4&amp;"_2",$A1:$X35,BE$9,FALSE)&gt;=1,VLOOKUP($AK4&amp;"_2",$A1:$X35,BE$10,FALSE)&lt;1),0,IF(AND(VLOOKUP($AJ4&amp;"_2",$A1:$X35,BE$9,FALSE)&gt;=1,VLOOKUP($AK4&amp;"_2",$A1:$X35,BE$10,FALSE)&gt;=1),VLOOKUP($AK4&amp;"_2",$A1:$X35,BE$10,FALSE)/VLOOKUP($AJ4&amp;"_2",$A1:$X35,BE$9,FALSE)))))</f>
      </c>
      <c r="BF4" s="326">
        <f>IF(AND(VLOOKUP($AJ4&amp;"_2",$A1:$X35,BF$9,FALSE)&lt;1,VLOOKUP($AK4&amp;"_2",$A1:$X35,BF$10,FALSE)&lt;1),0,IF(AND(VLOOKUP($AJ4&amp;"_2",$A1:$X35,BF$9,FALSE)&lt;1,VLOOKUP($AK4&amp;"_2",$A1:$X35,BF$10,FALSE)&gt;=1),VLOOKUP($AK4&amp;"_2",$A1:$X35,BF$10,FALSE)/1,IF(AND(VLOOKUP($AJ4&amp;"_2",$A1:$X35,BF$9,FALSE)&gt;=1,VLOOKUP($AK4&amp;"_2",$A1:$X35,BF$10,FALSE)&lt;1),0,IF(AND(VLOOKUP($AJ4&amp;"_2",$A1:$X35,BF$9,FALSE)&gt;=1,VLOOKUP($AK4&amp;"_2",$A1:$X35,BF$10,FALSE)&gt;=1),VLOOKUP($AK4&amp;"_2",$A1:$X35,BF$10,FALSE)/VLOOKUP($AJ4&amp;"_2",$A1:$X35,BF$9,FALSE)))))</f>
      </c>
      <c r="BG4" s="130"/>
      <c r="BH4" t="s" s="294">
        <f>BI4&amp;"_"&amp;IF(BJ4="男性",1,IF(BJ4="女性",2,IF(BJ4="合計",3)))</f>
        <v>275</v>
      </c>
      <c r="BI4" s="319">
        <f>BI3</f>
        <v>2025</v>
      </c>
      <c r="BJ4" t="s" s="320">
        <v>108</v>
      </c>
      <c r="BK4" s="321">
        <f>CM4*AK$14</f>
      </c>
      <c r="BL4" s="321">
        <v>21.3373979867632</v>
      </c>
      <c r="BM4" s="321">
        <v>31.0883058177941</v>
      </c>
      <c r="BN4" s="321">
        <v>36.748626347954</v>
      </c>
      <c r="BO4" s="321">
        <v>25.6227694793025</v>
      </c>
      <c r="BP4" s="321">
        <v>25.7323911852912</v>
      </c>
      <c r="BQ4" s="321">
        <v>33.0647650607802</v>
      </c>
      <c r="BR4" s="321">
        <v>48.6037973200042</v>
      </c>
      <c r="BS4" s="321">
        <v>47.2102929953404</v>
      </c>
      <c r="BT4" s="321">
        <v>70.9850924486976</v>
      </c>
      <c r="BU4" s="321">
        <v>49.2391083988974</v>
      </c>
      <c r="BV4" s="321">
        <v>72.1869231347185</v>
      </c>
      <c r="BW4" s="321">
        <v>99.7145384876623</v>
      </c>
      <c r="BX4" s="321">
        <v>130.006672813793</v>
      </c>
      <c r="BY4" s="321">
        <v>151.927005111115</v>
      </c>
      <c r="BZ4" s="321">
        <v>167.082206386681</v>
      </c>
      <c r="CA4" s="321">
        <v>120.613959692596</v>
      </c>
      <c r="CB4" s="321">
        <v>107.636040511172</v>
      </c>
      <c r="CC4" s="321">
        <v>59.2874521642395</v>
      </c>
      <c r="CD4" s="321">
        <v>11.9689520825128</v>
      </c>
      <c r="CE4" s="321">
        <v>1.61624407128354</v>
      </c>
      <c r="CF4" s="321">
        <f>SUM(BK4:CE4)</f>
      </c>
      <c r="CG4" s="321">
        <f>BL4*3/5+BM4*3/5</f>
        <v>31.4554222827344</v>
      </c>
      <c r="CH4" s="321">
        <f>BM4*2/5+BN4*1/5</f>
        <v>19.7850475967084</v>
      </c>
      <c r="CI4" s="321">
        <f>SUM(BX4:CE4)</f>
        <v>750.138532833393</v>
      </c>
      <c r="CJ4" s="321">
        <f>SUM(BZ4:CE4)</f>
        <v>468.204854908485</v>
      </c>
      <c r="CK4" s="322">
        <f>CI4/CF4</f>
      </c>
      <c r="CL4" s="322">
        <f>CJ4/CF4</f>
      </c>
      <c r="CM4" s="321">
        <f>SUM(BO4:BR4)</f>
        <v>133.023723045378</v>
      </c>
      <c r="CN4" s="130"/>
      <c r="CO4" t="s" s="294">
        <f>CP4&amp;"_"&amp;IF(CQ4="男性",1,IF(CQ4="女性",2,IF(CQ4="合計",3)))</f>
        <v>275</v>
      </c>
      <c r="CP4" s="319">
        <f>CP3</f>
        <v>2025</v>
      </c>
      <c r="CQ4" t="s" s="320">
        <v>108</v>
      </c>
      <c r="CR4" s="321">
        <v>19.6699962168952</v>
      </c>
      <c r="CS4" s="321">
        <v>21.3373979867632</v>
      </c>
      <c r="CT4" s="321">
        <v>32.0883058177941</v>
      </c>
      <c r="CU4" s="321">
        <v>36.748626347954</v>
      </c>
      <c r="CV4" s="321">
        <v>25.6227694793025</v>
      </c>
      <c r="CW4" s="321">
        <v>27.7323911852912</v>
      </c>
      <c r="CX4" s="321">
        <v>33.0647650607802</v>
      </c>
      <c r="CY4" s="321">
        <v>48.6037973200042</v>
      </c>
      <c r="CZ4" s="321">
        <v>48.2102929953404</v>
      </c>
      <c r="DA4" s="321">
        <v>70.9850924486976</v>
      </c>
      <c r="DB4" s="321">
        <v>49.2391083988974</v>
      </c>
      <c r="DC4" s="321">
        <v>72.1869231347185</v>
      </c>
      <c r="DD4" s="321">
        <v>99.7145384876623</v>
      </c>
      <c r="DE4" s="321">
        <f>BX4</f>
        <v>130.006672813793</v>
      </c>
      <c r="DF4" s="321">
        <f>BY4</f>
        <v>151.927005111115</v>
      </c>
      <c r="DG4" s="321">
        <f>BZ4</f>
        <v>167.082206386681</v>
      </c>
      <c r="DH4" s="321">
        <f>CA4</f>
        <v>120.613959692596</v>
      </c>
      <c r="DI4" s="321">
        <f>CB4</f>
        <v>107.636040511172</v>
      </c>
      <c r="DJ4" s="321">
        <f>CC4</f>
        <v>59.2874521642395</v>
      </c>
      <c r="DK4" s="321">
        <f>CD4</f>
        <v>11.9689520825128</v>
      </c>
      <c r="DL4" s="321">
        <f>CE4</f>
        <v>1.61624407128354</v>
      </c>
      <c r="DM4" s="321">
        <f>SUM(CR4:DL4)</f>
        <v>1335.342537713490</v>
      </c>
      <c r="DN4" s="321">
        <f>CS4*3/5+CT4*3/5</f>
        <v>32.0554222827344</v>
      </c>
      <c r="DO4" s="321">
        <f>CT4*2/5+CU4*1/5</f>
        <v>20.1850475967084</v>
      </c>
      <c r="DP4" s="321">
        <f>SUM(DE4:DL4)</f>
        <v>750.138532833393</v>
      </c>
      <c r="DQ4" s="321">
        <f>SUM(DG4:DL4)</f>
        <v>468.204854908485</v>
      </c>
      <c r="DR4" s="322">
        <f>DP4/DM4</f>
        <v>0.561757385575282</v>
      </c>
      <c r="DS4" s="322">
        <f>DQ4/DM4</f>
        <v>0.350625282790881</v>
      </c>
      <c r="DT4" s="321">
        <f>SUM(CV4:CY4)</f>
        <v>135.023723045378</v>
      </c>
      <c r="DU4" s="130"/>
      <c r="DV4" s="305"/>
      <c r="DW4" s="306"/>
      <c r="DX4" s="319">
        <f>DX3</f>
        <v>2025</v>
      </c>
      <c r="DY4" t="s" s="320">
        <v>108</v>
      </c>
      <c r="DZ4" s="321">
        <f>BK$4</f>
      </c>
      <c r="EA4" s="321">
        <f>BL$4</f>
        <v>21.3373979867632</v>
      </c>
      <c r="EB4" s="321">
        <f>BM$4</f>
        <v>31.0883058177941</v>
      </c>
      <c r="EC4" s="321">
        <f>BN$4</f>
        <v>36.748626347954</v>
      </c>
      <c r="ED4" s="321">
        <f>BO$4</f>
        <v>25.6227694793025</v>
      </c>
      <c r="EE4" s="321">
        <f>BP$4+DX1</f>
      </c>
      <c r="EF4" s="321">
        <f>BQ$4+DX1</f>
      </c>
      <c r="EG4" s="321">
        <f>BR$4+DX1</f>
      </c>
      <c r="EH4" s="321">
        <f>BS$4</f>
        <v>47.2102929953404</v>
      </c>
      <c r="EI4" s="321">
        <f>BT$4</f>
        <v>70.9850924486976</v>
      </c>
      <c r="EJ4" s="321">
        <f>BU$4</f>
        <v>49.2391083988974</v>
      </c>
      <c r="EK4" s="321">
        <f>BV$4</f>
        <v>72.1869231347185</v>
      </c>
      <c r="EL4" s="321">
        <f>BW$4</f>
        <v>99.7145384876623</v>
      </c>
      <c r="EM4" s="321">
        <f>BX$4</f>
        <v>130.006672813793</v>
      </c>
      <c r="EN4" s="321">
        <f>BY$4</f>
        <v>151.927005111115</v>
      </c>
      <c r="EO4" s="321">
        <f>BZ$4</f>
        <v>167.082206386681</v>
      </c>
      <c r="EP4" s="321">
        <f>CA$4</f>
        <v>120.613959692596</v>
      </c>
      <c r="EQ4" s="321">
        <f>CB$4</f>
        <v>107.636040511172</v>
      </c>
      <c r="ER4" s="321">
        <f>CC$4</f>
        <v>59.2874521642395</v>
      </c>
      <c r="ES4" s="321">
        <f>CD$4</f>
        <v>11.9689520825128</v>
      </c>
      <c r="ET4" s="321">
        <f>CE$4</f>
        <v>1.61624407128354</v>
      </c>
      <c r="EU4" s="321">
        <f>SUM(DZ4:ET4)</f>
      </c>
      <c r="EV4" s="321">
        <f>EA4*3/5+EB4*3/5</f>
        <v>31.4554222827344</v>
      </c>
      <c r="EW4" s="321">
        <f>EB4*2/5+EC4*1/5</f>
        <v>19.7850475967084</v>
      </c>
      <c r="EX4" s="321">
        <f>SUM(EM4:ET4)</f>
        <v>750.138532833393</v>
      </c>
      <c r="EY4" s="321">
        <f>SUM(EO4:ET4)</f>
        <v>468.204854908485</v>
      </c>
      <c r="EZ4" s="322">
        <f>EX4/EU4</f>
      </c>
      <c r="FA4" s="322">
        <f>EY4/EU4</f>
      </c>
      <c r="FB4" s="321">
        <f>SUM(ED4:EG4)</f>
      </c>
    </row>
    <row r="5" ht="16" customHeight="1">
      <c r="A5" t="s" s="282">
        <f>B5&amp;"_"&amp;IF(C5="男性",1,IF(C5="女性",2,IF(C5="合計",3)))</f>
        <v>276</v>
      </c>
      <c r="B5" s="327">
        <v>2005</v>
      </c>
      <c r="C5" t="s" s="323">
        <v>236</v>
      </c>
      <c r="D5" s="328">
        <v>104</v>
      </c>
      <c r="E5" s="328">
        <v>117</v>
      </c>
      <c r="F5" s="328">
        <v>202</v>
      </c>
      <c r="G5" s="328">
        <v>219</v>
      </c>
      <c r="H5" s="328">
        <v>209</v>
      </c>
      <c r="I5" s="328">
        <v>184</v>
      </c>
      <c r="J5" s="328">
        <v>149</v>
      </c>
      <c r="K5" s="328">
        <v>148</v>
      </c>
      <c r="L5" s="328">
        <v>187</v>
      </c>
      <c r="M5" s="328">
        <v>295</v>
      </c>
      <c r="N5" s="328">
        <v>340</v>
      </c>
      <c r="O5" s="328">
        <v>413</v>
      </c>
      <c r="P5" s="328">
        <v>339</v>
      </c>
      <c r="Q5" s="328">
        <v>403</v>
      </c>
      <c r="R5" s="328">
        <v>438</v>
      </c>
      <c r="S5" s="328">
        <v>354</v>
      </c>
      <c r="T5" s="328">
        <v>228</v>
      </c>
      <c r="U5" s="328">
        <v>146</v>
      </c>
      <c r="V5" s="328">
        <v>53</v>
      </c>
      <c r="W5" s="328">
        <v>13</v>
      </c>
      <c r="X5" s="328">
        <v>1</v>
      </c>
      <c r="Y5" s="328">
        <f>SUM(D5:X5)</f>
        <v>4542</v>
      </c>
      <c r="Z5" s="328">
        <f>E5*3/5+F5*3/5</f>
        <v>191.4</v>
      </c>
      <c r="AA5" s="328">
        <f>F5*2/5+G5*1/5</f>
        <v>124.6</v>
      </c>
      <c r="AB5" s="328">
        <f>SUM(Q5:X5)</f>
        <v>1636</v>
      </c>
      <c r="AC5" s="328">
        <f>SUM(S5:X5)</f>
        <v>795</v>
      </c>
      <c r="AD5" s="329">
        <f>AB5/Y5</f>
        <v>0.360193747247908</v>
      </c>
      <c r="AE5" s="329">
        <f>AC5/Y5</f>
        <v>0.175033025099075</v>
      </c>
      <c r="AF5" s="328">
        <f>SUM(H5:K5)</f>
        <v>690</v>
      </c>
      <c r="AG5" s="130"/>
      <c r="AH5" s="316"/>
      <c r="AI5" t="s" s="313">
        <v>277</v>
      </c>
      <c r="AJ5" s="317">
        <v>2010</v>
      </c>
      <c r="AK5" s="317">
        <v>2015</v>
      </c>
      <c r="AL5" t="s" s="240">
        <v>107</v>
      </c>
      <c r="AM5" s="318">
        <f>IF(AND(VLOOKUP($AJ5&amp;"_1",$A1:$X35,AM$9,FALSE)&lt;1,VLOOKUP($AK5&amp;"_1",$A1:$X35,AM$10,FALSE)&lt;1),1,IF(AND(VLOOKUP($AJ5&amp;"_1",$A1:$X35,AM$9,FALSE)&lt;1,VLOOKUP($AK5&amp;"_1",$A1:$X35,AM$10,FALSE)&gt;=1),VLOOKUP($AK5&amp;"_1",$A1:$X35,AM$10,FALSE)/1,IF(AND(VLOOKUP($AJ5&amp;"_1",$A1:$X35,AM$9,FALSE)&gt;=1,VLOOKUP($AK5&amp;"_1",$A1:$X35,AM$10,FALSE)&lt;1),1/VLOOKUP($AJ5&amp;"_1",$A1:$X35,AM$9,FALSE),IF(AND(VLOOKUP($AJ5&amp;"_1",$A1:$X35,AM$9,FALSE)&gt;=1,VLOOKUP($AK5&amp;"_1",$A1:$X35,AM$10,FALSE)&gt;=1),VLOOKUP($AK5&amp;"_1",$A1:$X35,AM$10,FALSE)/VLOOKUP($AJ5&amp;"_1",$A1:$X35,AM$9,FALSE)))))</f>
      </c>
      <c r="AN5" s="318">
        <f>IF(AND(VLOOKUP($AJ5&amp;"_1",$A1:$X35,AN$9,FALSE)&lt;1,VLOOKUP($AK5&amp;"_1",$A1:$X35,AN$10,FALSE)&lt;1),1,IF(AND(VLOOKUP($AJ5&amp;"_1",$A1:$X35,AN$9,FALSE)&lt;1,VLOOKUP($AK5&amp;"_1",$A1:$X35,AN$10,FALSE)&gt;=1),VLOOKUP($AK5&amp;"_1",$A1:$X35,AN$10,FALSE)/1,IF(AND(VLOOKUP($AJ5&amp;"_1",$A1:$X35,AN$9,FALSE)&gt;=1,VLOOKUP($AK5&amp;"_1",$A1:$X35,AN$10,FALSE)&lt;1),1/VLOOKUP($AJ5&amp;"_1",$A1:$X35,AN$9,FALSE),IF(AND(VLOOKUP($AJ5&amp;"_1",$A1:$X35,AN$9,FALSE)&gt;=1,VLOOKUP($AK5&amp;"_1",$A1:$X35,AN$10,FALSE)&gt;=1),VLOOKUP($AK5&amp;"_1",$A1:$X35,AN$10,FALSE)/VLOOKUP($AJ5&amp;"_1",$A1:$X35,AN$9,FALSE)))))</f>
      </c>
      <c r="AO5" s="318">
        <f>IF(AND(VLOOKUP($AJ5&amp;"_1",$A1:$X35,AO$9,FALSE)&lt;1,VLOOKUP($AK5&amp;"_1",$A1:$X35,AO$10,FALSE)&lt;1),1,IF(AND(VLOOKUP($AJ5&amp;"_1",$A1:$X35,AO$9,FALSE)&lt;1,VLOOKUP($AK5&amp;"_1",$A1:$X35,AO$10,FALSE)&gt;=1),VLOOKUP($AK5&amp;"_1",$A1:$X35,AO$10,FALSE)/1,IF(AND(VLOOKUP($AJ5&amp;"_1",$A1:$X35,AO$9,FALSE)&gt;=1,VLOOKUP($AK5&amp;"_1",$A1:$X35,AO$10,FALSE)&lt;1),1/VLOOKUP($AJ5&amp;"_1",$A1:$X35,AO$9,FALSE),IF(AND(VLOOKUP($AJ5&amp;"_1",$A1:$X35,AO$9,FALSE)&gt;=1,VLOOKUP($AK5&amp;"_1",$A1:$X35,AO$10,FALSE)&gt;=1),VLOOKUP($AK5&amp;"_1",$A1:$X35,AO$10,FALSE)/VLOOKUP($AJ5&amp;"_1",$A1:$X35,AO$9,FALSE)))))</f>
      </c>
      <c r="AP5" s="318">
        <f>IF(AND(VLOOKUP($AJ5&amp;"_1",$A1:$X35,AP$9,FALSE)&lt;1,VLOOKUP($AK5&amp;"_1",$A1:$X35,AP$10,FALSE)&lt;1),1,IF(AND(VLOOKUP($AJ5&amp;"_1",$A1:$X35,AP$9,FALSE)&lt;1,VLOOKUP($AK5&amp;"_1",$A1:$X35,AP$10,FALSE)&gt;=1),VLOOKUP($AK5&amp;"_1",$A1:$X35,AP$10,FALSE)/1,IF(AND(VLOOKUP($AJ5&amp;"_1",$A1:$X35,AP$9,FALSE)&gt;=1,VLOOKUP($AK5&amp;"_1",$A1:$X35,AP$10,FALSE)&lt;1),1/VLOOKUP($AJ5&amp;"_1",$A1:$X35,AP$9,FALSE),IF(AND(VLOOKUP($AJ5&amp;"_1",$A1:$X35,AP$9,FALSE)&gt;=1,VLOOKUP($AK5&amp;"_1",$A1:$X35,AP$10,FALSE)&gt;=1),VLOOKUP($AK5&amp;"_1",$A1:$X35,AP$10,FALSE)/VLOOKUP($AJ5&amp;"_1",$A1:$X35,AP$9,FALSE)))))</f>
      </c>
      <c r="AQ5" s="318">
        <f>IF(AND(VLOOKUP($AJ5&amp;"_1",$A1:$X35,AQ$9,FALSE)&lt;1,VLOOKUP($AK5&amp;"_1",$A1:$X35,AQ$10,FALSE)&lt;1),1,IF(AND(VLOOKUP($AJ5&amp;"_1",$A1:$X35,AQ$9,FALSE)&lt;1,VLOOKUP($AK5&amp;"_1",$A1:$X35,AQ$10,FALSE)&gt;=1),VLOOKUP($AK5&amp;"_1",$A1:$X35,AQ$10,FALSE)/1,IF(AND(VLOOKUP($AJ5&amp;"_1",$A1:$X35,AQ$9,FALSE)&gt;=1,VLOOKUP($AK5&amp;"_1",$A1:$X35,AQ$10,FALSE)&lt;1),1/VLOOKUP($AJ5&amp;"_1",$A1:$X35,AQ$9,FALSE),IF(AND(VLOOKUP($AJ5&amp;"_1",$A1:$X35,AQ$9,FALSE)&gt;=1,VLOOKUP($AK5&amp;"_1",$A1:$X35,AQ$10,FALSE)&gt;=1),VLOOKUP($AK5&amp;"_1",$A1:$X35,AQ$10,FALSE)/VLOOKUP($AJ5&amp;"_1",$A1:$X35,AQ$9,FALSE)))))</f>
      </c>
      <c r="AR5" s="318">
        <f>IF(AND(VLOOKUP($AJ5&amp;"_1",$A1:$X35,AR$9,FALSE)&lt;1,VLOOKUP($AK5&amp;"_1",$A1:$X35,AR$10,FALSE)&lt;1),1,IF(AND(VLOOKUP($AJ5&amp;"_1",$A1:$X35,AR$9,FALSE)&lt;1,VLOOKUP($AK5&amp;"_1",$A1:$X35,AR$10,FALSE)&gt;=1),VLOOKUP($AK5&amp;"_1",$A1:$X35,AR$10,FALSE)/1,IF(AND(VLOOKUP($AJ5&amp;"_1",$A1:$X35,AR$9,FALSE)&gt;=1,VLOOKUP($AK5&amp;"_1",$A1:$X35,AR$10,FALSE)&lt;1),1/VLOOKUP($AJ5&amp;"_1",$A1:$X35,AR$9,FALSE),IF(AND(VLOOKUP($AJ5&amp;"_1",$A1:$X35,AR$9,FALSE)&gt;=1,VLOOKUP($AK5&amp;"_1",$A1:$X35,AR$10,FALSE)&gt;=1),VLOOKUP($AK5&amp;"_1",$A1:$X35,AR$10,FALSE)/VLOOKUP($AJ5&amp;"_1",$A1:$X35,AR$9,FALSE)))))</f>
      </c>
      <c r="AS5" s="318">
        <f>IF(AND(VLOOKUP($AJ5&amp;"_1",$A1:$X35,AS$9,FALSE)&lt;1,VLOOKUP($AK5&amp;"_1",$A1:$X35,AS$10,FALSE)&lt;1),1,IF(AND(VLOOKUP($AJ5&amp;"_1",$A1:$X35,AS$9,FALSE)&lt;1,VLOOKUP($AK5&amp;"_1",$A1:$X35,AS$10,FALSE)&gt;=1),VLOOKUP($AK5&amp;"_1",$A1:$X35,AS$10,FALSE)/1,IF(AND(VLOOKUP($AJ5&amp;"_1",$A1:$X35,AS$9,FALSE)&gt;=1,VLOOKUP($AK5&amp;"_1",$A1:$X35,AS$10,FALSE)&lt;1),1/VLOOKUP($AJ5&amp;"_1",$A1:$X35,AS$9,FALSE),IF(AND(VLOOKUP($AJ5&amp;"_1",$A1:$X35,AS$9,FALSE)&gt;=1,VLOOKUP($AK5&amp;"_1",$A1:$X35,AS$10,FALSE)&gt;=1),VLOOKUP($AK5&amp;"_1",$A1:$X35,AS$10,FALSE)/VLOOKUP($AJ5&amp;"_1",$A1:$X35,AS$9,FALSE)))))</f>
      </c>
      <c r="AT5" s="318">
        <f>IF(AND(VLOOKUP($AJ5&amp;"_1",$A1:$X35,AT$9,FALSE)&lt;1,VLOOKUP($AK5&amp;"_1",$A1:$X35,AT$10,FALSE)&lt;1),1,IF(AND(VLOOKUP($AJ5&amp;"_1",$A1:$X35,AT$9,FALSE)&lt;1,VLOOKUP($AK5&amp;"_1",$A1:$X35,AT$10,FALSE)&gt;=1),VLOOKUP($AK5&amp;"_1",$A1:$X35,AT$10,FALSE)/1,IF(AND(VLOOKUP($AJ5&amp;"_1",$A1:$X35,AT$9,FALSE)&gt;=1,VLOOKUP($AK5&amp;"_1",$A1:$X35,AT$10,FALSE)&lt;1),1/VLOOKUP($AJ5&amp;"_1",$A1:$X35,AT$9,FALSE),IF(AND(VLOOKUP($AJ5&amp;"_1",$A1:$X35,AT$9,FALSE)&gt;=1,VLOOKUP($AK5&amp;"_1",$A1:$X35,AT$10,FALSE)&gt;=1),VLOOKUP($AK5&amp;"_1",$A1:$X35,AT$10,FALSE)/VLOOKUP($AJ5&amp;"_1",$A1:$X35,AT$9,FALSE)))))</f>
      </c>
      <c r="AU5" s="318">
        <f>IF(AND(VLOOKUP($AJ5&amp;"_1",$A1:$X35,AU$9,FALSE)&lt;1,VLOOKUP($AK5&amp;"_1",$A1:$X35,AU$10,FALSE)&lt;1),1,IF(AND(VLOOKUP($AJ5&amp;"_1",$A1:$X35,AU$9,FALSE)&lt;1,VLOOKUP($AK5&amp;"_1",$A1:$X35,AU$10,FALSE)&gt;=1),VLOOKUP($AK5&amp;"_1",$A1:$X35,AU$10,FALSE)/1,IF(AND(VLOOKUP($AJ5&amp;"_1",$A1:$X35,AU$9,FALSE)&gt;=1,VLOOKUP($AK5&amp;"_1",$A1:$X35,AU$10,FALSE)&lt;1),1/VLOOKUP($AJ5&amp;"_1",$A1:$X35,AU$9,FALSE),IF(AND(VLOOKUP($AJ5&amp;"_1",$A1:$X35,AU$9,FALSE)&gt;=1,VLOOKUP($AK5&amp;"_1",$A1:$X35,AU$10,FALSE)&gt;=1),VLOOKUP($AK5&amp;"_1",$A1:$X35,AU$10,FALSE)/VLOOKUP($AJ5&amp;"_1",$A1:$X35,AU$9,FALSE)))))</f>
      </c>
      <c r="AV5" s="318">
        <f>IF(AND(VLOOKUP($AJ5&amp;"_1",$A1:$X35,AV$9,FALSE)&lt;1,VLOOKUP($AK5&amp;"_1",$A1:$X35,AV$10,FALSE)&lt;1),1,IF(AND(VLOOKUP($AJ5&amp;"_1",$A1:$X35,AV$9,FALSE)&lt;1,VLOOKUP($AK5&amp;"_1",$A1:$X35,AV$10,FALSE)&gt;=1),VLOOKUP($AK5&amp;"_1",$A1:$X35,AV$10,FALSE)/1,IF(AND(VLOOKUP($AJ5&amp;"_1",$A1:$X35,AV$9,FALSE)&gt;=1,VLOOKUP($AK5&amp;"_1",$A1:$X35,AV$10,FALSE)&lt;1),1/VLOOKUP($AJ5&amp;"_1",$A1:$X35,AV$9,FALSE),IF(AND(VLOOKUP($AJ5&amp;"_1",$A1:$X35,AV$9,FALSE)&gt;=1,VLOOKUP($AK5&amp;"_1",$A1:$X35,AV$10,FALSE)&gt;=1),VLOOKUP($AK5&amp;"_1",$A1:$X35,AV$10,FALSE)/VLOOKUP($AJ5&amp;"_1",$A1:$X35,AV$9,FALSE)))))</f>
      </c>
      <c r="AW5" s="318">
        <f>IF(AND(VLOOKUP($AJ5&amp;"_1",$A1:$X35,AW$9,FALSE)&lt;1,VLOOKUP($AK5&amp;"_1",$A1:$X35,AW$10,FALSE)&lt;1),1,IF(AND(VLOOKUP($AJ5&amp;"_1",$A1:$X35,AW$9,FALSE)&lt;1,VLOOKUP($AK5&amp;"_1",$A1:$X35,AW$10,FALSE)&gt;=1),VLOOKUP($AK5&amp;"_1",$A1:$X35,AW$10,FALSE)/1,IF(AND(VLOOKUP($AJ5&amp;"_1",$A1:$X35,AW$9,FALSE)&gt;=1,VLOOKUP($AK5&amp;"_1",$A1:$X35,AW$10,FALSE)&lt;1),1/VLOOKUP($AJ5&amp;"_1",$A1:$X35,AW$9,FALSE),IF(AND(VLOOKUP($AJ5&amp;"_1",$A1:$X35,AW$9,FALSE)&gt;=1,VLOOKUP($AK5&amp;"_1",$A1:$X35,AW$10,FALSE)&gt;=1),VLOOKUP($AK5&amp;"_1",$A1:$X35,AW$10,FALSE)/VLOOKUP($AJ5&amp;"_1",$A1:$X35,AW$9,FALSE)))))</f>
      </c>
      <c r="AX5" s="318">
        <f>IF(AND(VLOOKUP($AJ5&amp;"_1",$A1:$X35,AX$9,FALSE)&lt;1,VLOOKUP($AK5&amp;"_1",$A1:$X35,AX$10,FALSE)&lt;1),1,IF(AND(VLOOKUP($AJ5&amp;"_1",$A1:$X35,AX$9,FALSE)&lt;1,VLOOKUP($AK5&amp;"_1",$A1:$X35,AX$10,FALSE)&gt;=1),VLOOKUP($AK5&amp;"_1",$A1:$X35,AX$10,FALSE)/1,IF(AND(VLOOKUP($AJ5&amp;"_1",$A1:$X35,AX$9,FALSE)&gt;=1,VLOOKUP($AK5&amp;"_1",$A1:$X35,AX$10,FALSE)&lt;1),1/VLOOKUP($AJ5&amp;"_1",$A1:$X35,AX$9,FALSE),IF(AND(VLOOKUP($AJ5&amp;"_1",$A1:$X35,AX$9,FALSE)&gt;=1,VLOOKUP($AK5&amp;"_1",$A1:$X35,AX$10,FALSE)&gt;=1),VLOOKUP($AK5&amp;"_1",$A1:$X35,AX$10,FALSE)/VLOOKUP($AJ5&amp;"_1",$A1:$X35,AX$9,FALSE)))))</f>
      </c>
      <c r="AY5" s="318">
        <f>IF(AND(VLOOKUP($AJ5&amp;"_1",$A1:$X35,AY$9,FALSE)&lt;1,VLOOKUP($AK5&amp;"_1",$A1:$X35,AY$10,FALSE)&lt;1),1,IF(AND(VLOOKUP($AJ5&amp;"_1",$A1:$X35,AY$9,FALSE)&lt;1,VLOOKUP($AK5&amp;"_1",$A1:$X35,AY$10,FALSE)&gt;=1),VLOOKUP($AK5&amp;"_1",$A1:$X35,AY$10,FALSE)/1,IF(AND(VLOOKUP($AJ5&amp;"_1",$A1:$X35,AY$9,FALSE)&gt;=1,VLOOKUP($AK5&amp;"_1",$A1:$X35,AY$10,FALSE)&lt;1),1/VLOOKUP($AJ5&amp;"_1",$A1:$X35,AY$9,FALSE),IF(AND(VLOOKUP($AJ5&amp;"_1",$A1:$X35,AY$9,FALSE)&gt;=1,VLOOKUP($AK5&amp;"_1",$A1:$X35,AY$10,FALSE)&gt;=1),VLOOKUP($AK5&amp;"_1",$A1:$X35,AY$10,FALSE)/VLOOKUP($AJ5&amp;"_1",$A1:$X35,AY$9,FALSE)))))</f>
      </c>
      <c r="AZ5" s="318">
        <f>IF(AND(VLOOKUP($AJ5&amp;"_1",$A1:$X35,AZ$9,FALSE)&lt;1,VLOOKUP($AK5&amp;"_1",$A1:$X35,AZ$10,FALSE)&lt;1),1,IF(AND(VLOOKUP($AJ5&amp;"_1",$A1:$X35,AZ$9,FALSE)&lt;1,VLOOKUP($AK5&amp;"_1",$A1:$X35,AZ$10,FALSE)&gt;=1),VLOOKUP($AK5&amp;"_1",$A1:$X35,AZ$10,FALSE)/1,IF(AND(VLOOKUP($AJ5&amp;"_1",$A1:$X35,AZ$9,FALSE)&gt;=1,VLOOKUP($AK5&amp;"_1",$A1:$X35,AZ$10,FALSE)&lt;1),1/VLOOKUP($AJ5&amp;"_1",$A1:$X35,AZ$9,FALSE),IF(AND(VLOOKUP($AJ5&amp;"_1",$A1:$X35,AZ$9,FALSE)&gt;=1,VLOOKUP($AK5&amp;"_1",$A1:$X35,AZ$10,FALSE)&gt;=1),VLOOKUP($AK5&amp;"_1",$A1:$X35,AZ$10,FALSE)/VLOOKUP($AJ5&amp;"_1",$A1:$X35,AZ$9,FALSE)))))</f>
      </c>
      <c r="BA5" s="318">
        <f>IF(AND(VLOOKUP($AJ5&amp;"_1",$A1:$X35,BA$9,FALSE)&lt;1,VLOOKUP($AK5&amp;"_1",$A1:$X35,BA$10,FALSE)&lt;1),1,IF(AND(VLOOKUP($AJ5&amp;"_1",$A1:$X35,BA$9,FALSE)&lt;1,VLOOKUP($AK5&amp;"_1",$A1:$X35,BA$10,FALSE)&gt;=1),VLOOKUP($AK5&amp;"_1",$A1:$X35,BA$10,FALSE)/1,IF(AND(VLOOKUP($AJ5&amp;"_1",$A1:$X35,BA$9,FALSE)&gt;=1,VLOOKUP($AK5&amp;"_1",$A1:$X35,BA$10,FALSE)&lt;1),1/VLOOKUP($AJ5&amp;"_1",$A1:$X35,BA$9,FALSE),IF(AND(VLOOKUP($AJ5&amp;"_1",$A1:$X35,BA$9,FALSE)&gt;=1,VLOOKUP($AK5&amp;"_1",$A1:$X35,BA$10,FALSE)&gt;=1),VLOOKUP($AK5&amp;"_1",$A1:$X35,BA$10,FALSE)/VLOOKUP($AJ5&amp;"_1",$A1:$X35,BA$9,FALSE)))))</f>
      </c>
      <c r="BB5" s="318">
        <f>IF(AND(VLOOKUP($AJ5&amp;"_1",$A1:$X35,BB$9,FALSE)&lt;1,VLOOKUP($AK5&amp;"_1",$A1:$X35,BB$10,FALSE)&lt;1),1,IF(AND(VLOOKUP($AJ5&amp;"_1",$A1:$X35,BB$9,FALSE)&lt;1,VLOOKUP($AK5&amp;"_1",$A1:$X35,BB$10,FALSE)&gt;=1),VLOOKUP($AK5&amp;"_1",$A1:$X35,BB$10,FALSE)/1,IF(AND(VLOOKUP($AJ5&amp;"_1",$A1:$X35,BB$9,FALSE)&gt;=1,VLOOKUP($AK5&amp;"_1",$A1:$X35,BB$10,FALSE)&lt;1),1/VLOOKUP($AJ5&amp;"_1",$A1:$X35,BB$9,FALSE),IF(AND(VLOOKUP($AJ5&amp;"_1",$A1:$X35,BB$9,FALSE)&gt;=1,VLOOKUP($AK5&amp;"_1",$A1:$X35,BB$10,FALSE)&gt;=1),VLOOKUP($AK5&amp;"_1",$A1:$X35,BB$10,FALSE)/VLOOKUP($AJ5&amp;"_1",$A1:$X35,BB$9,FALSE)))))</f>
      </c>
      <c r="BC5" s="318">
        <f>IF(AND(VLOOKUP($AJ5&amp;"_1",$A1:$X35,BC$9,FALSE)&lt;1,VLOOKUP($AK5&amp;"_1",$A1:$X35,BC$10,FALSE)&lt;1),1,IF(AND(VLOOKUP($AJ5&amp;"_1",$A1:$X35,BC$9,FALSE)&lt;1,VLOOKUP($AK5&amp;"_1",$A1:$X35,BC$10,FALSE)&gt;=1),VLOOKUP($AK5&amp;"_1",$A1:$X35,BC$10,FALSE)/1,IF(AND(VLOOKUP($AJ5&amp;"_1",$A1:$X35,BC$9,FALSE)&gt;=1,VLOOKUP($AK5&amp;"_1",$A1:$X35,BC$10,FALSE)&lt;1),1/VLOOKUP($AJ5&amp;"_1",$A1:$X35,BC$9,FALSE),IF(AND(VLOOKUP($AJ5&amp;"_1",$A1:$X35,BC$9,FALSE)&gt;=1,VLOOKUP($AK5&amp;"_1",$A1:$X35,BC$10,FALSE)&gt;=1),VLOOKUP($AK5&amp;"_1",$A1:$X35,BC$10,FALSE)/VLOOKUP($AJ5&amp;"_1",$A1:$X35,BC$9,FALSE)))))</f>
      </c>
      <c r="BD5" s="318">
        <f>IF(AND(VLOOKUP($AJ5&amp;"_1",$A1:$X35,BD$9,FALSE)&lt;1,VLOOKUP($AK5&amp;"_1",$A1:$X35,BD$10,FALSE)&lt;1),1,IF(AND(VLOOKUP($AJ5&amp;"_1",$A1:$X35,BD$9,FALSE)&lt;1,VLOOKUP($AK5&amp;"_1",$A1:$X35,BD$10,FALSE)&gt;=1),VLOOKUP($AK5&amp;"_1",$A1:$X35,BD$10,FALSE)/1,IF(AND(VLOOKUP($AJ5&amp;"_1",$A1:$X35,BD$9,FALSE)&gt;=1,VLOOKUP($AK5&amp;"_1",$A1:$X35,BD$10,FALSE)&lt;1),1/VLOOKUP($AJ5&amp;"_1",$A1:$X35,BD$9,FALSE),IF(AND(VLOOKUP($AJ5&amp;"_1",$A1:$X35,BD$9,FALSE)&gt;=1,VLOOKUP($AK5&amp;"_1",$A1:$X35,BD$10,FALSE)&gt;=1),VLOOKUP($AK5&amp;"_1",$A1:$X35,BD$10,FALSE)/VLOOKUP($AJ5&amp;"_1",$A1:$X35,BD$9,FALSE)))))</f>
      </c>
      <c r="BE5" s="318">
        <f>IF(AND(VLOOKUP($AJ5&amp;"_1",$A1:$X35,BE$9,FALSE)&lt;1,VLOOKUP($AK5&amp;"_1",$A1:$X35,BE$10,FALSE)&lt;1),0,IF(AND(VLOOKUP($AJ5&amp;"_1",$A1:$X35,BE$9,FALSE)&lt;1,VLOOKUP($AK5&amp;"_1",$A1:$X35,BE$10,FALSE)&gt;=1),VLOOKUP($AK5&amp;"_1",$A1:$X35,BE$10,FALSE)/1,IF(AND(VLOOKUP($AJ5&amp;"_1",$A1:$X35,BE$9,FALSE)&gt;=1,VLOOKUP($AK5&amp;"_1",$A1:$X35,BE$10,FALSE)&lt;1),0,IF(AND(VLOOKUP($AJ5&amp;"_1",$A1:$X35,BE$9,FALSE)&gt;=1,VLOOKUP($AK5&amp;"_1",$A1:$X35,BE$10,FALSE)&gt;=1),VLOOKUP($AK5&amp;"_1",$A1:$X35,BE$10,FALSE)/VLOOKUP($AJ5&amp;"_1",$A1:$X35,BE$9,FALSE)))))</f>
      </c>
      <c r="BF5" s="318">
        <f>IF(AND(VLOOKUP($AJ5&amp;"_1",$A1:$X35,BF$9,FALSE)&lt;1,VLOOKUP($AK5&amp;"_1",$A1:$X35,BF$10,FALSE)&lt;1),0,IF(AND(VLOOKUP($AJ5&amp;"_1",$A1:$X35,BF$9,FALSE)&lt;1,VLOOKUP($AK5&amp;"_1",$A1:$X35,BF$10,FALSE)&gt;=1),VLOOKUP($AK5&amp;"_1",$A1:$X35,BF$10,FALSE)/1,IF(AND(VLOOKUP($AJ5&amp;"_1",$A1:$X35,BF$9,FALSE)&gt;=1,VLOOKUP($AK5&amp;"_1",$A1:$X35,BF$10,FALSE)&lt;1),0,IF(AND(VLOOKUP($AJ5&amp;"_1",$A1:$X35,BF$9,FALSE)&gt;=1,VLOOKUP($AK5&amp;"_1",$A1:$X35,BF$10,FALSE)&gt;=1),VLOOKUP($AK5&amp;"_1",$A1:$X35,BF$10,FALSE)/VLOOKUP($AJ5&amp;"_1",$A1:$X35,BF$9,FALSE)))))</f>
      </c>
      <c r="BG5" s="130"/>
      <c r="BH5" t="s" s="294">
        <f>BI5&amp;"_"&amp;IF(BJ5="男性",1,IF(BJ5="女性",2,IF(BJ5="合計",3)))</f>
        <v>278</v>
      </c>
      <c r="BI5" s="327">
        <f>BI4</f>
        <v>2025</v>
      </c>
      <c r="BJ5" t="s" s="323">
        <v>236</v>
      </c>
      <c r="BK5" s="328">
        <f>BK3+BK4</f>
      </c>
      <c r="BL5" s="328">
        <f>BL3+BL4</f>
        <v>51.716944670754</v>
      </c>
      <c r="BM5" s="328">
        <f>BM3+BM4</f>
        <v>70.1693675403907</v>
      </c>
      <c r="BN5" s="328">
        <f>BN3+BN4</f>
        <v>72.2978631642932</v>
      </c>
      <c r="BO5" s="328">
        <f>BO3+BO4</f>
        <v>62.1105040223566</v>
      </c>
      <c r="BP5" s="328">
        <f>BP3+BP4</f>
        <v>47.8459011232781</v>
      </c>
      <c r="BQ5" s="328">
        <f>BQ3+BQ4</f>
        <v>69.2097620317809</v>
      </c>
      <c r="BR5" s="328">
        <f>BR3+BR4</f>
        <v>80.9184773689589</v>
      </c>
      <c r="BS5" s="328">
        <f>BS3+BS4</f>
        <v>97.1447339614477</v>
      </c>
      <c r="BT5" s="328">
        <f>BT3+BT4</f>
        <v>146.258677598744</v>
      </c>
      <c r="BU5" s="328">
        <f>BU3+BU4</f>
        <v>117.377756441504</v>
      </c>
      <c r="BV5" s="328">
        <f>BV3+BV4</f>
        <v>133.409378292594</v>
      </c>
      <c r="BW5" s="328">
        <f>BW3+BW4</f>
        <v>180.453226639848</v>
      </c>
      <c r="BX5" s="328">
        <f>BX3+BX4</f>
        <v>280.107468871681</v>
      </c>
      <c r="BY5" s="328">
        <f>BY3+BY4</f>
        <v>292.055009422163</v>
      </c>
      <c r="BZ5" s="328">
        <f>BZ3+BZ4</f>
        <v>312.658244463259</v>
      </c>
      <c r="CA5" s="328">
        <f>CA3+CA4</f>
        <v>216.045953254778</v>
      </c>
      <c r="CB5" s="328">
        <f>CB3+CB4</f>
        <v>181.552901713770</v>
      </c>
      <c r="CC5" s="328">
        <f>CC3+CC4</f>
        <v>92.0817747973046</v>
      </c>
      <c r="CD5" s="328">
        <f>CD3+CD4</f>
        <v>17.5380081287639</v>
      </c>
      <c r="CE5" s="328">
        <f>CE3+CE4</f>
        <v>1.68695474940219</v>
      </c>
      <c r="CF5" s="328">
        <f>SUM(BK5:CE5)</f>
      </c>
      <c r="CG5" s="328">
        <f>BL5*3/5+BM5*3/5</f>
        <v>73.1317873266868</v>
      </c>
      <c r="CH5" s="328">
        <f>BM5*2/5+BN5*1/5</f>
        <v>42.5273196490149</v>
      </c>
      <c r="CI5" s="328">
        <f>SUM(BX5:CE5)</f>
        <v>1393.726315401120</v>
      </c>
      <c r="CJ5" s="328">
        <f>SUM(BZ5:CE5)</f>
        <v>821.563837107278</v>
      </c>
      <c r="CK5" s="329">
        <f>CI5/CF5</f>
      </c>
      <c r="CL5" s="329">
        <f>CJ5/CF5</f>
      </c>
      <c r="CM5" s="328">
        <f>SUM(BO5:BR5)</f>
        <v>260.084644546375</v>
      </c>
      <c r="CN5" s="130"/>
      <c r="CO5" t="s" s="294">
        <f>CP5&amp;"_"&amp;IF(CQ5="男性",1,IF(CQ5="女性",2,IF(CQ5="合計",3)))</f>
        <v>278</v>
      </c>
      <c r="CP5" s="327">
        <f>CP4</f>
        <v>2025</v>
      </c>
      <c r="CQ5" t="s" s="323">
        <v>236</v>
      </c>
      <c r="CR5" s="328">
        <f>CR3+CR4</f>
        <v>44.1844554143713</v>
      </c>
      <c r="CS5" s="328">
        <f>CS3+CS4</f>
        <v>51.716944670754</v>
      </c>
      <c r="CT5" s="328">
        <f>CT3+CT4</f>
        <v>72.1693675403907</v>
      </c>
      <c r="CU5" s="328">
        <f>CU3+CU4</f>
        <v>72.2978631642932</v>
      </c>
      <c r="CV5" s="328">
        <f>CV3+CV4</f>
        <v>62.1105040223566</v>
      </c>
      <c r="CW5" s="328">
        <f>CW3+CW4</f>
        <v>51.8459011232781</v>
      </c>
      <c r="CX5" s="328">
        <f>CX3+CX4</f>
        <v>69.2097620317809</v>
      </c>
      <c r="CY5" s="328">
        <f>CY3+CY4</f>
        <v>80.9184773689589</v>
      </c>
      <c r="CZ5" s="328">
        <f>CZ3+CZ4</f>
        <v>98.1447339614477</v>
      </c>
      <c r="DA5" s="328">
        <f>DA3+DA4</f>
        <v>146.258677598744</v>
      </c>
      <c r="DB5" s="328">
        <f>DB3+DB4</f>
        <v>117.377756441504</v>
      </c>
      <c r="DC5" s="328">
        <f>DC3+DC4</f>
        <v>133.409378292594</v>
      </c>
      <c r="DD5" s="328">
        <f>DD3+DD4</f>
        <v>180.453226639848</v>
      </c>
      <c r="DE5" s="328">
        <f>DE3+DE4</f>
        <v>280.107468871681</v>
      </c>
      <c r="DF5" s="328">
        <f>DF3+DF4</f>
        <v>292.055009422163</v>
      </c>
      <c r="DG5" s="328">
        <f>DG3+DG4</f>
        <v>312.658244463259</v>
      </c>
      <c r="DH5" s="328">
        <f>DH3+DH4</f>
        <v>216.045953254778</v>
      </c>
      <c r="DI5" s="328">
        <f>DI3+DI4</f>
        <v>181.552901713770</v>
      </c>
      <c r="DJ5" s="328">
        <f>DJ3+DJ4</f>
        <v>92.0817747973046</v>
      </c>
      <c r="DK5" s="328">
        <f>DK3+DK4</f>
        <v>17.5380081287639</v>
      </c>
      <c r="DL5" s="328">
        <f>DL3+DL4</f>
        <v>1.68695474940219</v>
      </c>
      <c r="DM5" s="328">
        <f>SUM(CR5:DL5)</f>
        <v>2573.823363671440</v>
      </c>
      <c r="DN5" s="328">
        <f>CS5*3/5+CT5*3/5</f>
        <v>74.33178732668679</v>
      </c>
      <c r="DO5" s="328">
        <f>CT5*2/5+CU5*1/5</f>
        <v>43.3273196490149</v>
      </c>
      <c r="DP5" s="328">
        <f>SUM(DE5:DL5)</f>
        <v>1393.726315401120</v>
      </c>
      <c r="DQ5" s="328">
        <f>SUM(DG5:DL5)</f>
        <v>821.563837107278</v>
      </c>
      <c r="DR5" s="329">
        <f>DP5/DM5</f>
        <v>0.5415003745296</v>
      </c>
      <c r="DS5" s="329">
        <f>DQ5/DM5</f>
        <v>0.319199774430268</v>
      </c>
      <c r="DT5" s="328">
        <f>SUM(CV5:CY5)</f>
        <v>264.084644546375</v>
      </c>
      <c r="DU5" s="130"/>
      <c r="DV5" s="305"/>
      <c r="DW5" s="306"/>
      <c r="DX5" s="327">
        <f>DX4</f>
        <v>2025</v>
      </c>
      <c r="DY5" t="s" s="323">
        <v>236</v>
      </c>
      <c r="DZ5" s="328">
        <f>DZ3+DZ4</f>
      </c>
      <c r="EA5" s="328">
        <f>EA3+EA4</f>
        <v>51.716944670754</v>
      </c>
      <c r="EB5" s="328">
        <f>EB3+EB4</f>
        <v>70.1693675403907</v>
      </c>
      <c r="EC5" s="328">
        <f>EC3+EC4</f>
        <v>72.2978631642932</v>
      </c>
      <c r="ED5" s="328">
        <f>ED3+ED4</f>
        <v>62.1105040223566</v>
      </c>
      <c r="EE5" s="328">
        <f>EE3+EE4</f>
      </c>
      <c r="EF5" s="328">
        <f>EF3+EF4</f>
      </c>
      <c r="EG5" s="328">
        <f>EG3+EG4</f>
      </c>
      <c r="EH5" s="328">
        <f>EH3+EH4</f>
        <v>97.1447339614477</v>
      </c>
      <c r="EI5" s="328">
        <f>EI3+EI4</f>
        <v>146.258677598744</v>
      </c>
      <c r="EJ5" s="328">
        <f>EJ3+EJ4</f>
        <v>117.377756441504</v>
      </c>
      <c r="EK5" s="328">
        <f>EK3+EK4</f>
        <v>133.409378292594</v>
      </c>
      <c r="EL5" s="328">
        <f>EL3+EL4</f>
        <v>180.453226639848</v>
      </c>
      <c r="EM5" s="328">
        <f>EM3+EM4</f>
        <v>280.107468871681</v>
      </c>
      <c r="EN5" s="328">
        <f>EN3+EN4</f>
        <v>292.055009422163</v>
      </c>
      <c r="EO5" s="328">
        <f>EO3+EO4</f>
        <v>312.658244463259</v>
      </c>
      <c r="EP5" s="328">
        <f>EP3+EP4</f>
        <v>216.045953254778</v>
      </c>
      <c r="EQ5" s="328">
        <f>EQ3+EQ4</f>
        <v>181.552901713770</v>
      </c>
      <c r="ER5" s="328">
        <f>ER3+ER4</f>
        <v>92.0817747973046</v>
      </c>
      <c r="ES5" s="328">
        <f>ES3+ES4</f>
        <v>17.5380081287639</v>
      </c>
      <c r="ET5" s="328">
        <f>ET3+ET4</f>
        <v>1.68695474940219</v>
      </c>
      <c r="EU5" s="328">
        <f>SUM(DZ5:ET5)</f>
      </c>
      <c r="EV5" s="328">
        <f>EA5*3/5+EB5*3/5</f>
        <v>73.1317873266868</v>
      </c>
      <c r="EW5" s="328">
        <f>EB5*2/5+EC5*1/5</f>
        <v>42.5273196490149</v>
      </c>
      <c r="EX5" s="328">
        <f>SUM(EM5:ET5)</f>
        <v>1393.726315401120</v>
      </c>
      <c r="EY5" s="328">
        <f>SUM(EO5:ET5)</f>
        <v>821.563837107278</v>
      </c>
      <c r="EZ5" s="329">
        <f>EX5/EU5</f>
      </c>
      <c r="FA5" s="329">
        <f>EY5/EU5</f>
      </c>
      <c r="FB5" s="328">
        <f>SUM(ED5:EG5)</f>
      </c>
    </row>
    <row r="6" ht="16" customHeight="1">
      <c r="A6" t="s" s="282">
        <f>B6&amp;"_"&amp;IF(C6="男性",1,IF(C6="女性",2,IF(C6="合計",3)))</f>
        <v>279</v>
      </c>
      <c r="B6" s="312">
        <v>2010</v>
      </c>
      <c r="C6" t="s" s="313">
        <v>107</v>
      </c>
      <c r="D6" s="314">
        <v>48</v>
      </c>
      <c r="E6" s="314">
        <v>44</v>
      </c>
      <c r="F6" s="314">
        <v>57</v>
      </c>
      <c r="G6" s="314">
        <v>92</v>
      </c>
      <c r="H6" s="314">
        <v>98</v>
      </c>
      <c r="I6" s="314">
        <v>68</v>
      </c>
      <c r="J6" s="314">
        <v>76</v>
      </c>
      <c r="K6" s="314">
        <v>77</v>
      </c>
      <c r="L6" s="314">
        <v>72</v>
      </c>
      <c r="M6" s="314">
        <v>80</v>
      </c>
      <c r="N6" s="314">
        <v>160</v>
      </c>
      <c r="O6" s="314">
        <v>167</v>
      </c>
      <c r="P6" s="314">
        <v>206</v>
      </c>
      <c r="Q6" s="314">
        <v>150</v>
      </c>
      <c r="R6" s="314">
        <v>182</v>
      </c>
      <c r="S6" s="314">
        <v>156</v>
      </c>
      <c r="T6" s="314">
        <v>104</v>
      </c>
      <c r="U6" s="314">
        <v>51</v>
      </c>
      <c r="V6" s="314">
        <v>16</v>
      </c>
      <c r="W6" s="314">
        <v>5</v>
      </c>
      <c r="X6" s="314">
        <v>0</v>
      </c>
      <c r="Y6" s="314">
        <f>SUM(D6:X6)</f>
        <v>1909</v>
      </c>
      <c r="Z6" s="314">
        <f>E6*3/5+F6*3/5</f>
        <v>60.6</v>
      </c>
      <c r="AA6" s="314">
        <f>F6*2/5+G6*1/5</f>
        <v>41.2</v>
      </c>
      <c r="AB6" s="314">
        <f>SUM(Q6:X6)</f>
        <v>664</v>
      </c>
      <c r="AC6" s="314">
        <f>SUM(S6:X6)</f>
        <v>332</v>
      </c>
      <c r="AD6" s="315">
        <f>AB6/Y6</f>
        <v>0.347826086956522</v>
      </c>
      <c r="AE6" s="315">
        <f>AC6/Y6</f>
        <v>0.173913043478261</v>
      </c>
      <c r="AF6" s="314">
        <f>SUM(H6:K6)</f>
        <v>319</v>
      </c>
      <c r="AG6" s="130"/>
      <c r="AH6" s="316"/>
      <c r="AI6" t="s" s="323">
        <v>277</v>
      </c>
      <c r="AJ6" s="324">
        <f>AJ5</f>
        <v>2010</v>
      </c>
      <c r="AK6" s="324">
        <f>AK5</f>
        <v>2015</v>
      </c>
      <c r="AL6" t="s" s="325">
        <v>108</v>
      </c>
      <c r="AM6" s="326">
        <f>IF(AND(VLOOKUP($AJ6&amp;"_2",$A1:$X35,AM$9,FALSE)&lt;1,VLOOKUP($AK6&amp;"_2",$A1:$X35,AM$10,FALSE)&lt;1),1,IF(AND(VLOOKUP($AJ6&amp;"_2",$A1:$X35,AM$9,FALSE)&lt;1,VLOOKUP($AK6&amp;"_2",$A1:$X35,AM$10,FALSE)&gt;=1),VLOOKUP($AK6&amp;"_2",$A1:$X35,AM$10,FALSE)/1,IF(AND(VLOOKUP($AJ6&amp;"_2",$A1:$X35,AM$9,FALSE)&gt;=1,VLOOKUP($AK6&amp;"_2",$A1:$X35,AM$10,FALSE)&lt;1),1/VLOOKUP($AJ6&amp;"_2",$A1:$X35,AM$9,FALSE),IF(AND(VLOOKUP($AJ6&amp;"_2",$A1:$X35,AM$9,FALSE)&gt;=1,VLOOKUP($AK6&amp;"_2",$A1:$X35,AM$10,FALSE)&gt;=1),VLOOKUP($AK6&amp;"_2",$A1:$X35,AM$10,FALSE)/VLOOKUP($AJ6&amp;"_2",$A1:$X35,AM$9,FALSE)))))</f>
      </c>
      <c r="AN6" s="326">
        <f>IF(AND(VLOOKUP($AJ6&amp;"_2",$A1:$X35,AN$9,FALSE)&lt;1,VLOOKUP($AK6&amp;"_2",$A1:$X35,AN$10,FALSE)&lt;1),1,IF(AND(VLOOKUP($AJ6&amp;"_2",$A1:$X35,AN$9,FALSE)&lt;1,VLOOKUP($AK6&amp;"_2",$A1:$X35,AN$10,FALSE)&gt;=1),VLOOKUP($AK6&amp;"_2",$A1:$X35,AN$10,FALSE)/1,IF(AND(VLOOKUP($AJ6&amp;"_2",$A1:$X35,AN$9,FALSE)&gt;=1,VLOOKUP($AK6&amp;"_2",$A1:$X35,AN$10,FALSE)&lt;1),1/VLOOKUP($AJ6&amp;"_2",$A1:$X35,AN$9,FALSE),IF(AND(VLOOKUP($AJ6&amp;"_2",$A1:$X35,AN$9,FALSE)&gt;=1,VLOOKUP($AK6&amp;"_2",$A1:$X35,AN$10,FALSE)&gt;=1),VLOOKUP($AK6&amp;"_2",$A1:$X35,AN$10,FALSE)/VLOOKUP($AJ6&amp;"_2",$A1:$X35,AN$9,FALSE)))))</f>
      </c>
      <c r="AO6" s="326">
        <f>IF(AND(VLOOKUP($AJ6&amp;"_2",$A1:$X35,AO$9,FALSE)&lt;1,VLOOKUP($AK6&amp;"_2",$A1:$X35,AO$10,FALSE)&lt;1),1,IF(AND(VLOOKUP($AJ6&amp;"_2",$A1:$X35,AO$9,FALSE)&lt;1,VLOOKUP($AK6&amp;"_2",$A1:$X35,AO$10,FALSE)&gt;=1),VLOOKUP($AK6&amp;"_2",$A1:$X35,AO$10,FALSE)/1,IF(AND(VLOOKUP($AJ6&amp;"_2",$A1:$X35,AO$9,FALSE)&gt;=1,VLOOKUP($AK6&amp;"_2",$A1:$X35,AO$10,FALSE)&lt;1),1/VLOOKUP($AJ6&amp;"_2",$A1:$X35,AO$9,FALSE),IF(AND(VLOOKUP($AJ6&amp;"_2",$A1:$X35,AO$9,FALSE)&gt;=1,VLOOKUP($AK6&amp;"_2",$A1:$X35,AO$10,FALSE)&gt;=1),VLOOKUP($AK6&amp;"_2",$A1:$X35,AO$10,FALSE)/VLOOKUP($AJ6&amp;"_2",$A1:$X35,AO$9,FALSE)))))</f>
      </c>
      <c r="AP6" s="326">
        <f>IF(AND(VLOOKUP($AJ6&amp;"_2",$A1:$X35,AP$9,FALSE)&lt;1,VLOOKUP($AK6&amp;"_2",$A1:$X35,AP$10,FALSE)&lt;1),1,IF(AND(VLOOKUP($AJ6&amp;"_2",$A1:$X35,AP$9,FALSE)&lt;1,VLOOKUP($AK6&amp;"_2",$A1:$X35,AP$10,FALSE)&gt;=1),VLOOKUP($AK6&amp;"_2",$A1:$X35,AP$10,FALSE)/1,IF(AND(VLOOKUP($AJ6&amp;"_2",$A1:$X35,AP$9,FALSE)&gt;=1,VLOOKUP($AK6&amp;"_2",$A1:$X35,AP$10,FALSE)&lt;1),1/VLOOKUP($AJ6&amp;"_2",$A1:$X35,AP$9,FALSE),IF(AND(VLOOKUP($AJ6&amp;"_2",$A1:$X35,AP$9,FALSE)&gt;=1,VLOOKUP($AK6&amp;"_2",$A1:$X35,AP$10,FALSE)&gt;=1),VLOOKUP($AK6&amp;"_2",$A1:$X35,AP$10,FALSE)/VLOOKUP($AJ6&amp;"_2",$A1:$X35,AP$9,FALSE)))))</f>
      </c>
      <c r="AQ6" s="326">
        <f>IF(AND(VLOOKUP($AJ6&amp;"_2",$A1:$X35,AQ$9,FALSE)&lt;1,VLOOKUP($AK6&amp;"_2",$A1:$X35,AQ$10,FALSE)&lt;1),1,IF(AND(VLOOKUP($AJ6&amp;"_2",$A1:$X35,AQ$9,FALSE)&lt;1,VLOOKUP($AK6&amp;"_2",$A1:$X35,AQ$10,FALSE)&gt;=1),VLOOKUP($AK6&amp;"_2",$A1:$X35,AQ$10,FALSE)/1,IF(AND(VLOOKUP($AJ6&amp;"_2",$A1:$X35,AQ$9,FALSE)&gt;=1,VLOOKUP($AK6&amp;"_2",$A1:$X35,AQ$10,FALSE)&lt;1),1/VLOOKUP($AJ6&amp;"_2",$A1:$X35,AQ$9,FALSE),IF(AND(VLOOKUP($AJ6&amp;"_2",$A1:$X35,AQ$9,FALSE)&gt;=1,VLOOKUP($AK6&amp;"_2",$A1:$X35,AQ$10,FALSE)&gt;=1),VLOOKUP($AK6&amp;"_2",$A1:$X35,AQ$10,FALSE)/VLOOKUP($AJ6&amp;"_2",$A1:$X35,AQ$9,FALSE)))))</f>
      </c>
      <c r="AR6" s="326">
        <f>IF(AND(VLOOKUP($AJ6&amp;"_2",$A1:$X35,AR$9,FALSE)&lt;1,VLOOKUP($AK6&amp;"_2",$A1:$X35,AR$10,FALSE)&lt;1),1,IF(AND(VLOOKUP($AJ6&amp;"_2",$A1:$X35,AR$9,FALSE)&lt;1,VLOOKUP($AK6&amp;"_2",$A1:$X35,AR$10,FALSE)&gt;=1),VLOOKUP($AK6&amp;"_2",$A1:$X35,AR$10,FALSE)/1,IF(AND(VLOOKUP($AJ6&amp;"_2",$A1:$X35,AR$9,FALSE)&gt;=1,VLOOKUP($AK6&amp;"_2",$A1:$X35,AR$10,FALSE)&lt;1),1/VLOOKUP($AJ6&amp;"_2",$A1:$X35,AR$9,FALSE),IF(AND(VLOOKUP($AJ6&amp;"_2",$A1:$X35,AR$9,FALSE)&gt;=1,VLOOKUP($AK6&amp;"_2",$A1:$X35,AR$10,FALSE)&gt;=1),VLOOKUP($AK6&amp;"_2",$A1:$X35,AR$10,FALSE)/VLOOKUP($AJ6&amp;"_2",$A1:$X35,AR$9,FALSE)))))</f>
      </c>
      <c r="AS6" s="326">
        <f>IF(AND(VLOOKUP($AJ6&amp;"_2",$A1:$X35,AS$9,FALSE)&lt;1,VLOOKUP($AK6&amp;"_2",$A1:$X35,AS$10,FALSE)&lt;1),1,IF(AND(VLOOKUP($AJ6&amp;"_2",$A1:$X35,AS$9,FALSE)&lt;1,VLOOKUP($AK6&amp;"_2",$A1:$X35,AS$10,FALSE)&gt;=1),VLOOKUP($AK6&amp;"_2",$A1:$X35,AS$10,FALSE)/1,IF(AND(VLOOKUP($AJ6&amp;"_2",$A1:$X35,AS$9,FALSE)&gt;=1,VLOOKUP($AK6&amp;"_2",$A1:$X35,AS$10,FALSE)&lt;1),1/VLOOKUP($AJ6&amp;"_2",$A1:$X35,AS$9,FALSE),IF(AND(VLOOKUP($AJ6&amp;"_2",$A1:$X35,AS$9,FALSE)&gt;=1,VLOOKUP($AK6&amp;"_2",$A1:$X35,AS$10,FALSE)&gt;=1),VLOOKUP($AK6&amp;"_2",$A1:$X35,AS$10,FALSE)/VLOOKUP($AJ6&amp;"_2",$A1:$X35,AS$9,FALSE)))))</f>
      </c>
      <c r="AT6" s="326">
        <f>IF(AND(VLOOKUP($AJ6&amp;"_2",$A1:$X35,AT$9,FALSE)&lt;1,VLOOKUP($AK6&amp;"_2",$A1:$X35,AT$10,FALSE)&lt;1),1,IF(AND(VLOOKUP($AJ6&amp;"_2",$A1:$X35,AT$9,FALSE)&lt;1,VLOOKUP($AK6&amp;"_2",$A1:$X35,AT$10,FALSE)&gt;=1),VLOOKUP($AK6&amp;"_2",$A1:$X35,AT$10,FALSE)/1,IF(AND(VLOOKUP($AJ6&amp;"_2",$A1:$X35,AT$9,FALSE)&gt;=1,VLOOKUP($AK6&amp;"_2",$A1:$X35,AT$10,FALSE)&lt;1),1/VLOOKUP($AJ6&amp;"_2",$A1:$X35,AT$9,FALSE),IF(AND(VLOOKUP($AJ6&amp;"_2",$A1:$X35,AT$9,FALSE)&gt;=1,VLOOKUP($AK6&amp;"_2",$A1:$X35,AT$10,FALSE)&gt;=1),VLOOKUP($AK6&amp;"_2",$A1:$X35,AT$10,FALSE)/VLOOKUP($AJ6&amp;"_2",$A1:$X35,AT$9,FALSE)))))</f>
      </c>
      <c r="AU6" s="326">
        <f>IF(AND(VLOOKUP($AJ6&amp;"_2",$A1:$X35,AU$9,FALSE)&lt;1,VLOOKUP($AK6&amp;"_2",$A1:$X35,AU$10,FALSE)&lt;1),1,IF(AND(VLOOKUP($AJ6&amp;"_2",$A1:$X35,AU$9,FALSE)&lt;1,VLOOKUP($AK6&amp;"_2",$A1:$X35,AU$10,FALSE)&gt;=1),VLOOKUP($AK6&amp;"_2",$A1:$X35,AU$10,FALSE)/1,IF(AND(VLOOKUP($AJ6&amp;"_2",$A1:$X35,AU$9,FALSE)&gt;=1,VLOOKUP($AK6&amp;"_2",$A1:$X35,AU$10,FALSE)&lt;1),1/VLOOKUP($AJ6&amp;"_2",$A1:$X35,AU$9,FALSE),IF(AND(VLOOKUP($AJ6&amp;"_2",$A1:$X35,AU$9,FALSE)&gt;=1,VLOOKUP($AK6&amp;"_2",$A1:$X35,AU$10,FALSE)&gt;=1),VLOOKUP($AK6&amp;"_2",$A1:$X35,AU$10,FALSE)/VLOOKUP($AJ6&amp;"_2",$A1:$X35,AU$9,FALSE)))))</f>
      </c>
      <c r="AV6" s="326">
        <f>IF(AND(VLOOKUP($AJ6&amp;"_2",$A1:$X35,AV$9,FALSE)&lt;1,VLOOKUP($AK6&amp;"_2",$A1:$X35,AV$10,FALSE)&lt;1),1,IF(AND(VLOOKUP($AJ6&amp;"_2",$A1:$X35,AV$9,FALSE)&lt;1,VLOOKUP($AK6&amp;"_2",$A1:$X35,AV$10,FALSE)&gt;=1),VLOOKUP($AK6&amp;"_2",$A1:$X35,AV$10,FALSE)/1,IF(AND(VLOOKUP($AJ6&amp;"_2",$A1:$X35,AV$9,FALSE)&gt;=1,VLOOKUP($AK6&amp;"_2",$A1:$X35,AV$10,FALSE)&lt;1),1/VLOOKUP($AJ6&amp;"_2",$A1:$X35,AV$9,FALSE),IF(AND(VLOOKUP($AJ6&amp;"_2",$A1:$X35,AV$9,FALSE)&gt;=1,VLOOKUP($AK6&amp;"_2",$A1:$X35,AV$10,FALSE)&gt;=1),VLOOKUP($AK6&amp;"_2",$A1:$X35,AV$10,FALSE)/VLOOKUP($AJ6&amp;"_2",$A1:$X35,AV$9,FALSE)))))</f>
      </c>
      <c r="AW6" s="326">
        <f>IF(AND(VLOOKUP($AJ6&amp;"_2",$A1:$X35,AW$9,FALSE)&lt;1,VLOOKUP($AK6&amp;"_2",$A1:$X35,AW$10,FALSE)&lt;1),1,IF(AND(VLOOKUP($AJ6&amp;"_2",$A1:$X35,AW$9,FALSE)&lt;1,VLOOKUP($AK6&amp;"_2",$A1:$X35,AW$10,FALSE)&gt;=1),VLOOKUP($AK6&amp;"_2",$A1:$X35,AW$10,FALSE)/1,IF(AND(VLOOKUP($AJ6&amp;"_2",$A1:$X35,AW$9,FALSE)&gt;=1,VLOOKUP($AK6&amp;"_2",$A1:$X35,AW$10,FALSE)&lt;1),1/VLOOKUP($AJ6&amp;"_2",$A1:$X35,AW$9,FALSE),IF(AND(VLOOKUP($AJ6&amp;"_2",$A1:$X35,AW$9,FALSE)&gt;=1,VLOOKUP($AK6&amp;"_2",$A1:$X35,AW$10,FALSE)&gt;=1),VLOOKUP($AK6&amp;"_2",$A1:$X35,AW$10,FALSE)/VLOOKUP($AJ6&amp;"_2",$A1:$X35,AW$9,FALSE)))))</f>
      </c>
      <c r="AX6" s="326">
        <f>IF(AND(VLOOKUP($AJ6&amp;"_2",$A1:$X35,AX$9,FALSE)&lt;1,VLOOKUP($AK6&amp;"_2",$A1:$X35,AX$10,FALSE)&lt;1),1,IF(AND(VLOOKUP($AJ6&amp;"_2",$A1:$X35,AX$9,FALSE)&lt;1,VLOOKUP($AK6&amp;"_2",$A1:$X35,AX$10,FALSE)&gt;=1),VLOOKUP($AK6&amp;"_2",$A1:$X35,AX$10,FALSE)/1,IF(AND(VLOOKUP($AJ6&amp;"_2",$A1:$X35,AX$9,FALSE)&gt;=1,VLOOKUP($AK6&amp;"_2",$A1:$X35,AX$10,FALSE)&lt;1),1/VLOOKUP($AJ6&amp;"_2",$A1:$X35,AX$9,FALSE),IF(AND(VLOOKUP($AJ6&amp;"_2",$A1:$X35,AX$9,FALSE)&gt;=1,VLOOKUP($AK6&amp;"_2",$A1:$X35,AX$10,FALSE)&gt;=1),VLOOKUP($AK6&amp;"_2",$A1:$X35,AX$10,FALSE)/VLOOKUP($AJ6&amp;"_2",$A1:$X35,AX$9,FALSE)))))</f>
      </c>
      <c r="AY6" s="326">
        <f>IF(AND(VLOOKUP($AJ6&amp;"_2",$A1:$X35,AY$9,FALSE)&lt;1,VLOOKUP($AK6&amp;"_2",$A1:$X35,AY$10,FALSE)&lt;1),1,IF(AND(VLOOKUP($AJ6&amp;"_2",$A1:$X35,AY$9,FALSE)&lt;1,VLOOKUP($AK6&amp;"_2",$A1:$X35,AY$10,FALSE)&gt;=1),VLOOKUP($AK6&amp;"_2",$A1:$X35,AY$10,FALSE)/1,IF(AND(VLOOKUP($AJ6&amp;"_2",$A1:$X35,AY$9,FALSE)&gt;=1,VLOOKUP($AK6&amp;"_2",$A1:$X35,AY$10,FALSE)&lt;1),1/VLOOKUP($AJ6&amp;"_2",$A1:$X35,AY$9,FALSE),IF(AND(VLOOKUP($AJ6&amp;"_2",$A1:$X35,AY$9,FALSE)&gt;=1,VLOOKUP($AK6&amp;"_2",$A1:$X35,AY$10,FALSE)&gt;=1),VLOOKUP($AK6&amp;"_2",$A1:$X35,AY$10,FALSE)/VLOOKUP($AJ6&amp;"_2",$A1:$X35,AY$9,FALSE)))))</f>
      </c>
      <c r="AZ6" s="326">
        <f>IF(AND(VLOOKUP($AJ6&amp;"_2",$A1:$X35,AZ$9,FALSE)&lt;1,VLOOKUP($AK6&amp;"_2",$A1:$X35,AZ$10,FALSE)&lt;1),1,IF(AND(VLOOKUP($AJ6&amp;"_2",$A1:$X35,AZ$9,FALSE)&lt;1,VLOOKUP($AK6&amp;"_2",$A1:$X35,AZ$10,FALSE)&gt;=1),VLOOKUP($AK6&amp;"_2",$A1:$X35,AZ$10,FALSE)/1,IF(AND(VLOOKUP($AJ6&amp;"_2",$A1:$X35,AZ$9,FALSE)&gt;=1,VLOOKUP($AK6&amp;"_2",$A1:$X35,AZ$10,FALSE)&lt;1),1/VLOOKUP($AJ6&amp;"_2",$A1:$X35,AZ$9,FALSE),IF(AND(VLOOKUP($AJ6&amp;"_2",$A1:$X35,AZ$9,FALSE)&gt;=1,VLOOKUP($AK6&amp;"_2",$A1:$X35,AZ$10,FALSE)&gt;=1),VLOOKUP($AK6&amp;"_2",$A1:$X35,AZ$10,FALSE)/VLOOKUP($AJ6&amp;"_2",$A1:$X35,AZ$9,FALSE)))))</f>
      </c>
      <c r="BA6" s="326">
        <f>IF(AND(VLOOKUP($AJ6&amp;"_2",$A1:$X35,BA$9,FALSE)&lt;1,VLOOKUP($AK6&amp;"_2",$A1:$X35,BA$10,FALSE)&lt;1),1,IF(AND(VLOOKUP($AJ6&amp;"_2",$A1:$X35,BA$9,FALSE)&lt;1,VLOOKUP($AK6&amp;"_2",$A1:$X35,BA$10,FALSE)&gt;=1),VLOOKUP($AK6&amp;"_2",$A1:$X35,BA$10,FALSE)/1,IF(AND(VLOOKUP($AJ6&amp;"_2",$A1:$X35,BA$9,FALSE)&gt;=1,VLOOKUP($AK6&amp;"_2",$A1:$X35,BA$10,FALSE)&lt;1),1/VLOOKUP($AJ6&amp;"_2",$A1:$X35,BA$9,FALSE),IF(AND(VLOOKUP($AJ6&amp;"_2",$A1:$X35,BA$9,FALSE)&gt;=1,VLOOKUP($AK6&amp;"_2",$A1:$X35,BA$10,FALSE)&gt;=1),VLOOKUP($AK6&amp;"_2",$A1:$X35,BA$10,FALSE)/VLOOKUP($AJ6&amp;"_2",$A1:$X35,BA$9,FALSE)))))</f>
      </c>
      <c r="BB6" s="326">
        <f>IF(AND(VLOOKUP($AJ6&amp;"_2",$A1:$X35,BB$9,FALSE)&lt;1,VLOOKUP($AK6&amp;"_2",$A1:$X35,BB$10,FALSE)&lt;1),1,IF(AND(VLOOKUP($AJ6&amp;"_2",$A1:$X35,BB$9,FALSE)&lt;1,VLOOKUP($AK6&amp;"_2",$A1:$X35,BB$10,FALSE)&gt;=1),VLOOKUP($AK6&amp;"_2",$A1:$X35,BB$10,FALSE)/1,IF(AND(VLOOKUP($AJ6&amp;"_2",$A1:$X35,BB$9,FALSE)&gt;=1,VLOOKUP($AK6&amp;"_2",$A1:$X35,BB$10,FALSE)&lt;1),1/VLOOKUP($AJ6&amp;"_2",$A1:$X35,BB$9,FALSE),IF(AND(VLOOKUP($AJ6&amp;"_2",$A1:$X35,BB$9,FALSE)&gt;=1,VLOOKUP($AK6&amp;"_2",$A1:$X35,BB$10,FALSE)&gt;=1),VLOOKUP($AK6&amp;"_2",$A1:$X35,BB$10,FALSE)/VLOOKUP($AJ6&amp;"_2",$A1:$X35,BB$9,FALSE)))))</f>
      </c>
      <c r="BC6" s="326">
        <f>IF(AND(VLOOKUP($AJ6&amp;"_2",$A1:$X35,BC$9,FALSE)&lt;1,VLOOKUP($AK6&amp;"_2",$A1:$X35,BC$10,FALSE)&lt;1),1,IF(AND(VLOOKUP($AJ6&amp;"_2",$A1:$X35,BC$9,FALSE)&lt;1,VLOOKUP($AK6&amp;"_2",$A1:$X35,BC$10,FALSE)&gt;=1),VLOOKUP($AK6&amp;"_2",$A1:$X35,BC$10,FALSE)/1,IF(AND(VLOOKUP($AJ6&amp;"_2",$A1:$X35,BC$9,FALSE)&gt;=1,VLOOKUP($AK6&amp;"_2",$A1:$X35,BC$10,FALSE)&lt;1),1/VLOOKUP($AJ6&amp;"_2",$A1:$X35,BC$9,FALSE),IF(AND(VLOOKUP($AJ6&amp;"_2",$A1:$X35,BC$9,FALSE)&gt;=1,VLOOKUP($AK6&amp;"_2",$A1:$X35,BC$10,FALSE)&gt;=1),VLOOKUP($AK6&amp;"_2",$A1:$X35,BC$10,FALSE)/VLOOKUP($AJ6&amp;"_2",$A1:$X35,BC$9,FALSE)))))</f>
      </c>
      <c r="BD6" s="326">
        <f>IF(AND(VLOOKUP($AJ6&amp;"_2",$A1:$X35,BD$9,FALSE)&lt;1,VLOOKUP($AK6&amp;"_2",$A1:$X35,BD$10,FALSE)&lt;1),1,IF(AND(VLOOKUP($AJ6&amp;"_2",$A1:$X35,BD$9,FALSE)&lt;1,VLOOKUP($AK6&amp;"_2",$A1:$X35,BD$10,FALSE)&gt;=1),VLOOKUP($AK6&amp;"_2",$A1:$X35,BD$10,FALSE)/1,IF(AND(VLOOKUP($AJ6&amp;"_2",$A1:$X35,BD$9,FALSE)&gt;=1,VLOOKUP($AK6&amp;"_2",$A1:$X35,BD$10,FALSE)&lt;1),1/VLOOKUP($AJ6&amp;"_2",$A1:$X35,BD$9,FALSE),IF(AND(VLOOKUP($AJ6&amp;"_2",$A1:$X35,BD$9,FALSE)&gt;=1,VLOOKUP($AK6&amp;"_2",$A1:$X35,BD$10,FALSE)&gt;=1),VLOOKUP($AK6&amp;"_2",$A1:$X35,BD$10,FALSE)/VLOOKUP($AJ6&amp;"_2",$A1:$X35,BD$9,FALSE)))))</f>
      </c>
      <c r="BE6" s="326">
        <f>IF(AND(VLOOKUP($AJ6&amp;"_2",$A1:$X35,BE$9,FALSE)&lt;1,VLOOKUP($AK6&amp;"_2",$A1:$X35,BE$10,FALSE)&lt;1),0,IF(AND(VLOOKUP($AJ6&amp;"_2",$A1:$X35,BE$9,FALSE)&lt;1,VLOOKUP($AK6&amp;"_2",$A1:$X35,BE$10,FALSE)&gt;=1),VLOOKUP($AK6&amp;"_2",$A1:$X35,BE$10,FALSE)/1,IF(AND(VLOOKUP($AJ6&amp;"_2",$A1:$X35,BE$9,FALSE)&gt;=1,VLOOKUP($AK6&amp;"_2",$A1:$X35,BE$10,FALSE)&lt;1),0,IF(AND(VLOOKUP($AJ6&amp;"_2",$A1:$X35,BE$9,FALSE)&gt;=1,VLOOKUP($AK6&amp;"_2",$A1:$X35,BE$10,FALSE)&gt;=1),VLOOKUP($AK6&amp;"_2",$A1:$X35,BE$10,FALSE)/VLOOKUP($AJ6&amp;"_2",$A1:$X35,BE$9,FALSE)))))</f>
      </c>
      <c r="BF6" s="326">
        <f>IF(AND(VLOOKUP($AJ6&amp;"_2",$A1:$X35,BF$9,FALSE)&lt;1,VLOOKUP($AK6&amp;"_2",$A1:$X35,BF$10,FALSE)&lt;1),0,IF(AND(VLOOKUP($AJ6&amp;"_2",$A1:$X35,BF$9,FALSE)&lt;1,VLOOKUP($AK6&amp;"_2",$A1:$X35,BF$10,FALSE)&gt;=1),VLOOKUP($AK6&amp;"_2",$A1:$X35,BF$10,FALSE)/1,IF(AND(VLOOKUP($AJ6&amp;"_2",$A1:$X35,BF$9,FALSE)&gt;=1,VLOOKUP($AK6&amp;"_2",$A1:$X35,BF$10,FALSE)&lt;1),0,IF(AND(VLOOKUP($AJ6&amp;"_2",$A1:$X35,BF$9,FALSE)&gt;=1,VLOOKUP($AK6&amp;"_2",$A1:$X35,BF$10,FALSE)&gt;=1),VLOOKUP($AK6&amp;"_2",$A1:$X35,BF$10,FALSE)/VLOOKUP($AJ6&amp;"_2",$A1:$X35,BF$9,FALSE)))))</f>
      </c>
      <c r="BG6" s="130"/>
      <c r="BH6" t="s" s="294">
        <f>BI6&amp;"_"&amp;IF(BJ6="男性",1,IF(BJ6="女性",2,IF(BJ6="合計",3)))</f>
        <v>280</v>
      </c>
      <c r="BI6" s="312">
        <v>2030</v>
      </c>
      <c r="BJ6" t="s" s="313">
        <v>107</v>
      </c>
      <c r="BK6" s="314">
        <f>CM7*$AK$13</f>
      </c>
      <c r="BL6" s="314">
        <v>23.6327509025458</v>
      </c>
      <c r="BM6" s="314">
        <v>31.2218063336214</v>
      </c>
      <c r="BN6" s="314">
        <v>32.2391066935248</v>
      </c>
      <c r="BO6" s="314">
        <v>31.616201307993</v>
      </c>
      <c r="BP6" s="314">
        <v>16.4189477769258</v>
      </c>
      <c r="BQ6" s="314">
        <v>19.878143688898</v>
      </c>
      <c r="BR6" s="314">
        <v>35.2419396959702</v>
      </c>
      <c r="BS6" s="314">
        <v>29.778442197209</v>
      </c>
      <c r="BT6" s="314">
        <v>49.2720974137111</v>
      </c>
      <c r="BU6" s="314">
        <v>73.16475152889311</v>
      </c>
      <c r="BV6" s="314">
        <v>65.926742943761</v>
      </c>
      <c r="BW6" s="314">
        <v>60.6310190461943</v>
      </c>
      <c r="BX6" s="314">
        <v>75.8643758188751</v>
      </c>
      <c r="BY6" s="314">
        <v>137.061198664954</v>
      </c>
      <c r="BZ6" s="314">
        <v>116.380401671849</v>
      </c>
      <c r="CA6" s="314">
        <v>116.317376726682</v>
      </c>
      <c r="CB6" s="314">
        <v>58.5312739982744</v>
      </c>
      <c r="CC6" s="314">
        <v>30.1996502240206</v>
      </c>
      <c r="CD6" s="314">
        <v>6.28802432313145</v>
      </c>
      <c r="CE6" s="314">
        <v>0.078758345902242</v>
      </c>
      <c r="CF6" s="314">
        <f>SUM(BK6:CE6)</f>
      </c>
      <c r="CG6" s="314">
        <f>BL6*3/5+BM6*3/5</f>
        <v>32.9127343417003</v>
      </c>
      <c r="CH6" s="314">
        <f>BM6*2/5+BN6*1/5</f>
        <v>18.9365438721535</v>
      </c>
      <c r="CI6" s="314">
        <f>SUM(BX6:CE6)</f>
        <v>540.721059773689</v>
      </c>
      <c r="CJ6" s="314">
        <f>SUM(BZ6:CE6)</f>
        <v>327.795485289860</v>
      </c>
      <c r="CK6" s="315">
        <f>CI6/CF6</f>
      </c>
      <c r="CL6" s="315">
        <f>CJ6/CF6</f>
      </c>
      <c r="CM6" s="314">
        <f>SUM(BO6:BR6)</f>
        <v>103.155232469787</v>
      </c>
      <c r="CN6" s="130"/>
      <c r="CO6" t="s" s="294">
        <f>CP6&amp;"_"&amp;IF(CQ6="男性",1,IF(CQ6="女性",2,IF(CQ6="合計",3)))</f>
        <v>280</v>
      </c>
      <c r="CP6" s="312">
        <v>2030</v>
      </c>
      <c r="CQ6" t="s" s="313">
        <v>107</v>
      </c>
      <c r="CR6" s="314">
        <v>19.1595018202858</v>
      </c>
      <c r="CS6" s="314">
        <v>24.637781496874</v>
      </c>
      <c r="CT6" s="314">
        <v>32.2218063336214</v>
      </c>
      <c r="CU6" s="314">
        <v>33.0640358349683</v>
      </c>
      <c r="CV6" s="314">
        <v>31.616201307993</v>
      </c>
      <c r="CW6" s="314">
        <v>18.4189477769258</v>
      </c>
      <c r="CX6" s="314">
        <v>21.6759716903905</v>
      </c>
      <c r="CY6" s="314">
        <v>35.2419396959702</v>
      </c>
      <c r="CZ6" s="314">
        <v>29.778442197209</v>
      </c>
      <c r="DA6" s="314">
        <v>49.2720974137111</v>
      </c>
      <c r="DB6" s="314">
        <v>73.16475152889311</v>
      </c>
      <c r="DC6" s="314">
        <v>65.926742943761</v>
      </c>
      <c r="DD6" s="314">
        <v>60.6310190461943</v>
      </c>
      <c r="DE6" s="314">
        <v>75.8643758188751</v>
      </c>
      <c r="DF6" s="314">
        <v>137.061198664954</v>
      </c>
      <c r="DG6" s="314">
        <v>116.380401671849</v>
      </c>
      <c r="DH6" s="314">
        <v>116.317376726682</v>
      </c>
      <c r="DI6" s="314">
        <v>58.5312739982744</v>
      </c>
      <c r="DJ6" s="314">
        <v>30.1996502240206</v>
      </c>
      <c r="DK6" s="314">
        <v>6.28802432313145</v>
      </c>
      <c r="DL6" s="314">
        <v>0.078758345902242</v>
      </c>
      <c r="DM6" s="314">
        <f>SUM(CR6:DL6)</f>
        <v>1035.530298860490</v>
      </c>
      <c r="DN6" s="314">
        <f>CS6*3/5+CT6*3/5</f>
        <v>34.1157526982972</v>
      </c>
      <c r="DO6" s="314">
        <f>CT6*2/5+CU6*1/5</f>
        <v>19.5015297004422</v>
      </c>
      <c r="DP6" s="314">
        <f>SUM(DE6:DL6)</f>
        <v>540.721059773689</v>
      </c>
      <c r="DQ6" s="314">
        <f>SUM(DG6:DL6)</f>
        <v>327.795485289860</v>
      </c>
      <c r="DR6" s="315">
        <f>DP6/DM6</f>
        <v>0.522168265253759</v>
      </c>
      <c r="DS6" s="315">
        <f>DQ6/DM6</f>
        <v>0.31654842514079</v>
      </c>
      <c r="DT6" s="314">
        <f>SUM(CV6:CY6)</f>
        <v>106.953060471280</v>
      </c>
      <c r="DU6" s="130"/>
      <c r="DV6" t="s" s="52">
        <v>281</v>
      </c>
      <c r="DW6" s="288"/>
      <c r="DX6" s="312">
        <v>2030</v>
      </c>
      <c r="DY6" t="s" s="313">
        <v>107</v>
      </c>
      <c r="DZ6" s="314">
        <f>FB7*$AK$13</f>
      </c>
      <c r="EA6" s="314">
        <v>23.6327509025458</v>
      </c>
      <c r="EB6" s="314">
        <v>31.2218063336214</v>
      </c>
      <c r="EC6" s="314">
        <v>32.2391066935248</v>
      </c>
      <c r="ED6" s="314">
        <v>31.616201307993</v>
      </c>
      <c r="EE6" s="314">
        <v>84.4189477769258</v>
      </c>
      <c r="EF6" s="314">
        <v>149.004295739644</v>
      </c>
      <c r="EG6" s="314">
        <v>169.543007621046</v>
      </c>
      <c r="EH6" s="314">
        <v>92.4414197152463</v>
      </c>
      <c r="EI6" s="314">
        <v>49.2720974137111</v>
      </c>
      <c r="EJ6" s="314">
        <v>73.16475152889311</v>
      </c>
      <c r="EK6" s="314">
        <v>65.926742943761</v>
      </c>
      <c r="EL6" s="314">
        <v>60.6310190461943</v>
      </c>
      <c r="EM6" s="314">
        <v>75.8643758188751</v>
      </c>
      <c r="EN6" s="314">
        <v>137.061198664954</v>
      </c>
      <c r="EO6" s="314">
        <v>116.380401671849</v>
      </c>
      <c r="EP6" s="314">
        <v>116.317376726682</v>
      </c>
      <c r="EQ6" s="314">
        <v>58.5312739982744</v>
      </c>
      <c r="ER6" s="314">
        <v>30.1996502240206</v>
      </c>
      <c r="ES6" s="314">
        <v>6.28802432313145</v>
      </c>
      <c r="ET6" s="314">
        <v>0.078758345902242</v>
      </c>
      <c r="EU6" s="314">
        <f>SUM(DZ6:ET6)</f>
      </c>
      <c r="EV6" s="314">
        <f>EA6*3/5+EB6*3/5</f>
        <v>32.9127343417003</v>
      </c>
      <c r="EW6" s="314">
        <f>EB6*2/5+EC6*1/5</f>
        <v>18.9365438721535</v>
      </c>
      <c r="EX6" s="314">
        <f>SUM(EM6:ET6)</f>
        <v>540.721059773689</v>
      </c>
      <c r="EY6" s="314">
        <f>SUM(EO6:ET6)</f>
        <v>327.795485289860</v>
      </c>
      <c r="EZ6" s="315">
        <f>EX6/EU6</f>
      </c>
      <c r="FA6" s="315">
        <f>EY6/EU6</f>
      </c>
      <c r="FB6" s="314">
        <f>SUM(ED6:EG6)</f>
        <v>434.582452445609</v>
      </c>
    </row>
    <row r="7" ht="16" customHeight="1">
      <c r="A7" t="s" s="282">
        <f>B7&amp;"_"&amp;IF(C7="男性",1,IF(C7="女性",2,IF(C7="合計",3)))</f>
        <v>282</v>
      </c>
      <c r="B7" s="319">
        <v>2010</v>
      </c>
      <c r="C7" t="s" s="320">
        <v>108</v>
      </c>
      <c r="D7" s="321">
        <v>54</v>
      </c>
      <c r="E7" s="321">
        <v>58</v>
      </c>
      <c r="F7" s="321">
        <v>44</v>
      </c>
      <c r="G7" s="321">
        <v>84</v>
      </c>
      <c r="H7" s="321">
        <v>58</v>
      </c>
      <c r="I7" s="321">
        <v>76</v>
      </c>
      <c r="J7" s="321">
        <v>79</v>
      </c>
      <c r="K7" s="321">
        <v>68</v>
      </c>
      <c r="L7" s="321">
        <v>68</v>
      </c>
      <c r="M7" s="321">
        <v>105</v>
      </c>
      <c r="N7" s="321">
        <v>136</v>
      </c>
      <c r="O7" s="321">
        <v>167</v>
      </c>
      <c r="P7" s="321">
        <v>194</v>
      </c>
      <c r="Q7" s="321">
        <v>174</v>
      </c>
      <c r="R7" s="321">
        <v>195</v>
      </c>
      <c r="S7" s="321">
        <v>222</v>
      </c>
      <c r="T7" s="321">
        <v>163</v>
      </c>
      <c r="U7" s="321">
        <v>105</v>
      </c>
      <c r="V7" s="321">
        <v>43</v>
      </c>
      <c r="W7" s="321">
        <v>14</v>
      </c>
      <c r="X7" s="321">
        <v>2</v>
      </c>
      <c r="Y7" s="321">
        <f>SUM(D7:X7)</f>
        <v>2109</v>
      </c>
      <c r="Z7" s="321">
        <f>E7*3/5+F7*3/5</f>
        <v>61.2</v>
      </c>
      <c r="AA7" s="321">
        <f>F7*2/5+G7*1/5</f>
        <v>34.4</v>
      </c>
      <c r="AB7" s="321">
        <f>SUM(Q7:X7)</f>
        <v>918</v>
      </c>
      <c r="AC7" s="321">
        <f>SUM(S7:X7)</f>
        <v>549</v>
      </c>
      <c r="AD7" s="322">
        <f>AB7/Y7</f>
        <v>0.435277382645804</v>
      </c>
      <c r="AE7" s="322">
        <f>AC7/Y7</f>
        <v>0.260312944523471</v>
      </c>
      <c r="AF7" s="321">
        <f>SUM(H7:K7)</f>
        <v>281</v>
      </c>
      <c r="AG7" s="130"/>
      <c r="AH7" s="316"/>
      <c r="AI7" t="s" s="313">
        <v>283</v>
      </c>
      <c r="AJ7" s="317">
        <v>2010</v>
      </c>
      <c r="AK7" s="317">
        <v>2020</v>
      </c>
      <c r="AL7" t="s" s="240">
        <v>107</v>
      </c>
      <c r="AM7" s="330">
        <f>IF(AND(AM3&gt;0,AM5&gt;0),SQRT(AM3*AM5),IF(AND(AM3=0,AM5&gt;0),SQRT(0.001*AM5),IF(AND(AM3&gt;0,AM5=0),SQRT(AM3*0.001),IF(AND(AM3=0,AM5=0),SQRT(0.001*0.001)))))</f>
      </c>
      <c r="AN7" s="330">
        <f>IF(AND(AN3&gt;0,AN5&gt;0),SQRT(AN3*AN5),IF(AND(AN3=0,AN5&gt;0),SQRT(0.001*AN5),IF(AND(AN3&gt;0,AN5=0),SQRT(AN3*0.001),IF(AND(AN3=0,AN5=0),SQRT(0.001*0.001)))))</f>
      </c>
      <c r="AO7" s="330">
        <f>IF(AND(AO3&gt;0,AO5&gt;0),SQRT(AO3*AO5),IF(AND(AO3=0,AO5&gt;0),SQRT(0.001*AO5),IF(AND(AO3&gt;0,AO5=0),SQRT(AO3*0.001),IF(AND(AO3=0,AO5=0),SQRT(0.001*0.001)))))</f>
      </c>
      <c r="AP7" s="330">
        <f>IF(AND(AP3&gt;0,AP5&gt;0),SQRT(AP3*AP5),IF(AND(AP3=0,AP5&gt;0),SQRT(0.001*AP5),IF(AND(AP3&gt;0,AP5=0),SQRT(AP3*0.001),IF(AND(AP3=0,AP5=0),SQRT(0.001*0.001)))))</f>
      </c>
      <c r="AQ7" s="330">
        <f>IF(AND(AQ3&gt;0,AQ5&gt;0),SQRT(AQ3*AQ5),IF(AND(AQ3=0,AQ5&gt;0),SQRT(0.001*AQ5),IF(AND(AQ3&gt;0,AQ5=0),SQRT(AQ3*0.001),IF(AND(AQ3=0,AQ5=0),SQRT(0.001*0.001)))))</f>
      </c>
      <c r="AR7" s="330">
        <f>IF(AND(AR3&gt;0,AR5&gt;0),SQRT(AR3*AR5),IF(AND(AR3=0,AR5&gt;0),SQRT(0.001*AR5),IF(AND(AR3&gt;0,AR5=0),SQRT(AR3*0.001),IF(AND(AR3=0,AR5=0),SQRT(0.001*0.001)))))</f>
      </c>
      <c r="AS7" s="330">
        <f>IF(AND(AS3&gt;0,AS5&gt;0),SQRT(AS3*AS5),IF(AND(AS3=0,AS5&gt;0),SQRT(0.001*AS5),IF(AND(AS3&gt;0,AS5=0),SQRT(AS3*0.001),IF(AND(AS3=0,AS5=0),SQRT(0.001*0.001)))))</f>
      </c>
      <c r="AT7" s="330">
        <f>IF(AND(AT3&gt;0,AT5&gt;0),SQRT(AT3*AT5),IF(AND(AT3=0,AT5&gt;0),SQRT(0.001*AT5),IF(AND(AT3&gt;0,AT5=0),SQRT(AT3*0.001),IF(AND(AT3=0,AT5=0),SQRT(0.001*0.001)))))</f>
      </c>
      <c r="AU7" s="330">
        <f>IF(AND(AU3&gt;0,AU5&gt;0),SQRT(AU3*AU5),IF(AND(AU3=0,AU5&gt;0),SQRT(0.001*AU5),IF(AND(AU3&gt;0,AU5=0),SQRT(AU3*0.001),IF(AND(AU3=0,AU5=0),SQRT(0.001*0.001)))))</f>
      </c>
      <c r="AV7" s="330">
        <f>IF(AND(AV3&gt;0,AV5&gt;0),SQRT(AV3*AV5),IF(AND(AV3=0,AV5&gt;0),SQRT(0.001*AV5),IF(AND(AV3&gt;0,AV5=0),SQRT(AV3*0.001),IF(AND(AV3=0,AV5=0),SQRT(0.001*0.001)))))</f>
      </c>
      <c r="AW7" s="330">
        <f>IF(AND(AW3&gt;0,AW5&gt;0),SQRT(AW3*AW5),IF(AND(AW3=0,AW5&gt;0),SQRT(0.001*AW5),IF(AND(AW3&gt;0,AW5=0),SQRT(AW3*0.001),IF(AND(AW3=0,AW5=0),SQRT(0.001*0.001)))))</f>
      </c>
      <c r="AX7" s="330">
        <f>IF(AND(AX3&gt;0,AX5&gt;0),SQRT(AX3*AX5),IF(AND(AX3=0,AX5&gt;0),SQRT(0.001*AX5),IF(AND(AX3&gt;0,AX5=0),SQRT(AX3*0.001),IF(AND(AX3=0,AX5=0),SQRT(0.001*0.001)))))</f>
      </c>
      <c r="AY7" s="330">
        <f>IF(AND(AY3&gt;0,AY5&gt;0),SQRT(AY3*AY5),IF(AND(AY3=0,AY5&gt;0),SQRT(0.001*AY5),IF(AND(AY3&gt;0,AY5=0),SQRT(AY3*0.001),IF(AND(AY3=0,AY5=0),SQRT(0.001*0.001)))))</f>
      </c>
      <c r="AZ7" s="330">
        <f>IF(AND(AZ3&gt;0,AZ5&gt;0),SQRT(AZ3*AZ5),IF(AND(AZ3=0,AZ5&gt;0),SQRT(0.001*AZ5),IF(AND(AZ3&gt;0,AZ5=0),SQRT(AZ3*0.001),IF(AND(AZ3=0,AZ5=0),SQRT(0.001*0.001)))))</f>
      </c>
      <c r="BA7" s="330">
        <f>IF(AND(BA3&gt;0,BA5&gt;0),SQRT(BA3*BA5),IF(AND(BA3=0,BA5&gt;0),SQRT(0.001*BA5),IF(AND(BA3&gt;0,BA5=0),SQRT(BA3*0.001),IF(AND(BA3=0,BA5=0),SQRT(0.001*0.001)))))</f>
      </c>
      <c r="BB7" s="330">
        <f>IF(AND(BB3&gt;0,BB5&gt;0),SQRT(BB3*BB5),IF(AND(BB3=0,BB5&gt;0),SQRT(0.001*BB5),IF(AND(BB3&gt;0,BB5=0),SQRT(BB3*0.001),IF(AND(BB3=0,BB5=0),SQRT(0.001*0.001)))))</f>
      </c>
      <c r="BC7" s="330">
        <f>IF(AND(BC3&gt;0,BC5&gt;0),SQRT(BC3*BC5),IF(AND(BC3=0,BC5&gt;0),SQRT(0.001*BC5),IF(AND(BC3&gt;0,BC5=0),SQRT(BC3*0.001),IF(AND(BC3=0,BC5=0),SQRT(0.001*0.001)))))</f>
      </c>
      <c r="BD7" s="330">
        <f>IF(AND(BD3&gt;0,BD5&gt;0),SQRT(BD3*BD5),IF(AND(BD3=0,BD5&gt;0),SQRT(0.001*BD5),IF(AND(BD3&gt;0,BD5=0),SQRT(BD3*0.001),IF(AND(BD3=0,BD5=0),SQRT(0.001*0.001)))))</f>
      </c>
      <c r="BE7" s="330">
        <f>IF(AND(BE3&gt;0,BE5&gt;0),SQRT(BE3*BE5),IF(AND(BE3=0,BE5&gt;0),SQRT(0.001*BE5),IF(AND(BE3&gt;0,BE5=0),SQRT(BE3*0.001),IF(AND(BE3=0,BE5=0),SQRT(0.001*0.001)))))</f>
      </c>
      <c r="BF7" s="330">
        <f>IF(AND(BF3&gt;0,BF5&gt;0),SQRT(BF3*BF5),IF(AND(BF3=0,BF5&gt;0),SQRT(0.001*BF5),IF(AND(BF3&gt;0,BF5=0),SQRT(BF3*0.001),IF(AND(BF3=0,BF5=0),SQRT(0.001*0.001)))))</f>
      </c>
      <c r="BG7" s="130"/>
      <c r="BH7" t="s" s="294">
        <f>BI7&amp;"_"&amp;IF(BJ7="男性",1,IF(BJ7="女性",2,IF(BJ7="合計",3)))</f>
        <v>284</v>
      </c>
      <c r="BI7" s="319">
        <f>BI6</f>
        <v>2030</v>
      </c>
      <c r="BJ7" t="s" s="320">
        <v>108</v>
      </c>
      <c r="BK7" s="321">
        <f>CM7*$AK$14</f>
      </c>
      <c r="BL7" s="321">
        <v>16.5987141538024</v>
      </c>
      <c r="BM7" s="321">
        <v>18.952672970528</v>
      </c>
      <c r="BN7" s="321">
        <v>25.9648303247509</v>
      </c>
      <c r="BO7" s="321">
        <v>22.419085276063</v>
      </c>
      <c r="BP7" s="321">
        <v>24.4198195367389</v>
      </c>
      <c r="BQ7" s="321">
        <v>22.3904070787828</v>
      </c>
      <c r="BR7" s="321">
        <v>29.7606136934763</v>
      </c>
      <c r="BS7" s="321">
        <v>44.1269136954527</v>
      </c>
      <c r="BT7" s="321">
        <v>44.0950922737413</v>
      </c>
      <c r="BU7" s="321">
        <v>69.9048532357435</v>
      </c>
      <c r="BV7" s="321">
        <v>49.3669407390733</v>
      </c>
      <c r="BW7" s="321">
        <v>71.2681754972555</v>
      </c>
      <c r="BX7" s="321">
        <v>97.4703412025857</v>
      </c>
      <c r="BY7" s="321">
        <v>123.447027781626</v>
      </c>
      <c r="BZ7" s="321">
        <v>137.958147954813</v>
      </c>
      <c r="CA7" s="321">
        <v>136.165179097792</v>
      </c>
      <c r="CB7" s="321">
        <v>86.54939367790089</v>
      </c>
      <c r="CC7" s="321">
        <v>52.7393934128449</v>
      </c>
      <c r="CD7" s="321">
        <v>12.9019758917828</v>
      </c>
      <c r="CE7" s="321">
        <v>1.20904674017738</v>
      </c>
      <c r="CF7" s="321">
        <f>SUM(BK7:CE7)</f>
      </c>
      <c r="CG7" s="321">
        <f>BL7*3/5+BM7*3/5</f>
        <v>21.3308322745982</v>
      </c>
      <c r="CH7" s="321">
        <f>BM7*2/5+BN7*1/5</f>
        <v>12.7740352531614</v>
      </c>
      <c r="CI7" s="321">
        <f>SUM(BX7:CE7)</f>
        <v>648.440505759523</v>
      </c>
      <c r="CJ7" s="321">
        <f>SUM(BZ7:CE7)</f>
        <v>427.523136775311</v>
      </c>
      <c r="CK7" s="322">
        <f>CI7/CF7</f>
      </c>
      <c r="CL7" s="322">
        <f>CJ7/CF7</f>
      </c>
      <c r="CM7" s="321">
        <f>SUM(BO7:BR7)</f>
        <v>98.989925585061</v>
      </c>
      <c r="CN7" s="130"/>
      <c r="CO7" t="s" s="294">
        <f>CP7&amp;"_"&amp;IF(CQ7="男性",1,IF(CQ7="女性",2,IF(CQ7="合計",3)))</f>
        <v>284</v>
      </c>
      <c r="CP7" s="319">
        <f>CP6</f>
        <v>2030</v>
      </c>
      <c r="CQ7" t="s" s="320">
        <v>108</v>
      </c>
      <c r="CR7" s="321">
        <v>15.4182703688047</v>
      </c>
      <c r="CS7" s="321">
        <v>17.4877724032508</v>
      </c>
      <c r="CT7" s="321">
        <v>19.952672970528</v>
      </c>
      <c r="CU7" s="321">
        <v>26.8000263781135</v>
      </c>
      <c r="CV7" s="321">
        <v>22.419085276063</v>
      </c>
      <c r="CW7" s="321">
        <v>26.4198195367389</v>
      </c>
      <c r="CX7" s="321">
        <v>24.1306578714554</v>
      </c>
      <c r="CY7" s="321">
        <v>29.7606136934763</v>
      </c>
      <c r="CZ7" s="321">
        <v>45.1269136954527</v>
      </c>
      <c r="DA7" s="321">
        <v>45.0291066480662</v>
      </c>
      <c r="DB7" s="321">
        <v>69.9048532357435</v>
      </c>
      <c r="DC7" s="321">
        <v>49.3669407390733</v>
      </c>
      <c r="DD7" s="321">
        <v>71.2681754972555</v>
      </c>
      <c r="DE7" s="321">
        <v>97.4703412025857</v>
      </c>
      <c r="DF7" s="321">
        <v>123.447027781626</v>
      </c>
      <c r="DG7" s="321">
        <v>137.958147954813</v>
      </c>
      <c r="DH7" s="321">
        <v>136.165179097792</v>
      </c>
      <c r="DI7" s="321">
        <v>86.54939367790089</v>
      </c>
      <c r="DJ7" s="321">
        <v>52.7393934128449</v>
      </c>
      <c r="DK7" s="321">
        <v>12.9019758917828</v>
      </c>
      <c r="DL7" s="321">
        <v>1.20904674017738</v>
      </c>
      <c r="DM7" s="321">
        <f>SUM(CR7:DL7)</f>
        <v>1111.525414073540</v>
      </c>
      <c r="DN7" s="321">
        <f>CS7*3/5+CT7*3/5</f>
        <v>22.4642672242673</v>
      </c>
      <c r="DO7" s="321">
        <f>CT7*2/5+CU7*1/5</f>
        <v>13.3410744638339</v>
      </c>
      <c r="DP7" s="321">
        <f>SUM(DE7:DL7)</f>
        <v>648.440505759523</v>
      </c>
      <c r="DQ7" s="321">
        <f>SUM(DG7:DL7)</f>
        <v>427.523136775311</v>
      </c>
      <c r="DR7" s="322">
        <f>DP7/DM7</f>
        <v>0.5833789291268699</v>
      </c>
      <c r="DS7" s="322">
        <f>DQ7/DM7</f>
        <v>0.384627406051397</v>
      </c>
      <c r="DT7" s="321">
        <f>SUM(CV7:CY7)</f>
        <v>102.730176377734</v>
      </c>
      <c r="DU7" s="130"/>
      <c r="DV7" t="s" s="52">
        <v>107</v>
      </c>
      <c r="DW7" s="331">
        <f>(CF12-Y12)/4</f>
      </c>
      <c r="DX7" s="319">
        <f>DX6</f>
        <v>2030</v>
      </c>
      <c r="DY7" t="s" s="320">
        <v>108</v>
      </c>
      <c r="DZ7" s="321">
        <f>FB7*$AK$14</f>
      </c>
      <c r="EA7" s="321">
        <v>16.5987141538024</v>
      </c>
      <c r="EB7" s="321">
        <v>18.952672970528</v>
      </c>
      <c r="EC7" s="321">
        <v>25.9648303247509</v>
      </c>
      <c r="ED7" s="321">
        <v>22.419085276063</v>
      </c>
      <c r="EE7" s="321">
        <v>92.4198195367389</v>
      </c>
      <c r="EF7" s="321">
        <v>149.558934029653</v>
      </c>
      <c r="EG7" s="321">
        <v>158.965395503852</v>
      </c>
      <c r="EH7" s="321">
        <v>105.863450689359</v>
      </c>
      <c r="EI7" s="321">
        <v>44.0950922737413</v>
      </c>
      <c r="EJ7" s="321">
        <v>69.9048532357435</v>
      </c>
      <c r="EK7" s="321">
        <v>49.3669407390733</v>
      </c>
      <c r="EL7" s="321">
        <v>71.2681754972555</v>
      </c>
      <c r="EM7" s="321">
        <v>97.4703412025857</v>
      </c>
      <c r="EN7" s="321">
        <v>123.447027781626</v>
      </c>
      <c r="EO7" s="321">
        <v>137.958147954813</v>
      </c>
      <c r="EP7" s="321">
        <v>136.165179097792</v>
      </c>
      <c r="EQ7" s="321">
        <v>86.54939367790089</v>
      </c>
      <c r="ER7" s="321">
        <v>52.7393934128449</v>
      </c>
      <c r="ES7" s="321">
        <v>12.9019758917828</v>
      </c>
      <c r="ET7" s="321">
        <v>1.20904674017738</v>
      </c>
      <c r="EU7" s="321">
        <f>SUM(DZ7:ET7)</f>
      </c>
      <c r="EV7" s="321">
        <f>EA7*3/5+EB7*3/5</f>
        <v>21.3308322745982</v>
      </c>
      <c r="EW7" s="321">
        <f>EB7*2/5+EC7*1/5</f>
        <v>12.7740352531614</v>
      </c>
      <c r="EX7" s="321">
        <f>SUM(EM7:ET7)</f>
        <v>648.440505759523</v>
      </c>
      <c r="EY7" s="321">
        <f>SUM(EO7:ET7)</f>
        <v>427.523136775311</v>
      </c>
      <c r="EZ7" s="322">
        <f>EX7/EU7</f>
      </c>
      <c r="FA7" s="322">
        <f>EY7/EU7</f>
      </c>
      <c r="FB7" s="321">
        <f>SUM(ED7:EG7)</f>
        <v>423.363234346307</v>
      </c>
    </row>
    <row r="8" ht="16" customHeight="1">
      <c r="A8" t="s" s="282">
        <f>B8&amp;"_"&amp;IF(C8="男性",1,IF(C8="女性",2,IF(C8="合計",3)))</f>
        <v>285</v>
      </c>
      <c r="B8" s="327">
        <v>2010</v>
      </c>
      <c r="C8" t="s" s="323">
        <v>236</v>
      </c>
      <c r="D8" s="328">
        <v>102</v>
      </c>
      <c r="E8" s="328">
        <v>102</v>
      </c>
      <c r="F8" s="328">
        <v>101</v>
      </c>
      <c r="G8" s="328">
        <v>176</v>
      </c>
      <c r="H8" s="328">
        <v>156</v>
      </c>
      <c r="I8" s="328">
        <v>144</v>
      </c>
      <c r="J8" s="328">
        <v>155</v>
      </c>
      <c r="K8" s="328">
        <v>145</v>
      </c>
      <c r="L8" s="328">
        <v>140</v>
      </c>
      <c r="M8" s="328">
        <v>185</v>
      </c>
      <c r="N8" s="328">
        <v>296</v>
      </c>
      <c r="O8" s="328">
        <v>334</v>
      </c>
      <c r="P8" s="328">
        <v>400</v>
      </c>
      <c r="Q8" s="328">
        <v>324</v>
      </c>
      <c r="R8" s="328">
        <v>377</v>
      </c>
      <c r="S8" s="328">
        <v>378</v>
      </c>
      <c r="T8" s="328">
        <v>267</v>
      </c>
      <c r="U8" s="328">
        <v>156</v>
      </c>
      <c r="V8" s="328">
        <v>59</v>
      </c>
      <c r="W8" s="328">
        <v>19</v>
      </c>
      <c r="X8" s="328">
        <v>2</v>
      </c>
      <c r="Y8" s="328">
        <f>SUM(D8:X8)</f>
        <v>4018</v>
      </c>
      <c r="Z8" s="328">
        <f>E8*3/5+F8*3/5</f>
        <v>121.8</v>
      </c>
      <c r="AA8" s="328">
        <f>F8*2/5+G8*1/5</f>
        <v>75.59999999999999</v>
      </c>
      <c r="AB8" s="328">
        <f>SUM(Q8:X8)</f>
        <v>1582</v>
      </c>
      <c r="AC8" s="328">
        <f>SUM(S8:X8)</f>
        <v>881</v>
      </c>
      <c r="AD8" s="329">
        <f>AB8/Y8</f>
        <v>0.393728222996516</v>
      </c>
      <c r="AE8" s="329">
        <f>AC8/Y8</f>
        <v>0.21926331508213</v>
      </c>
      <c r="AF8" s="328">
        <f>SUM(H8:K8)</f>
        <v>600</v>
      </c>
      <c r="AG8" s="130"/>
      <c r="AH8" s="316"/>
      <c r="AI8" t="s" s="323">
        <v>283</v>
      </c>
      <c r="AJ8" s="324">
        <f>AJ7</f>
        <v>2010</v>
      </c>
      <c r="AK8" s="324">
        <f>AK7</f>
        <v>2020</v>
      </c>
      <c r="AL8" t="s" s="325">
        <v>108</v>
      </c>
      <c r="AM8" s="332">
        <f>IF(AND(AM4&gt;0,AM6&gt;0),SQRT(AM4*AM6),IF(AND(AM4=0,AM6&gt;0),SQRT(0.001*AM6),IF(AND(AM4&gt;0,AM6=0),SQRT(AM4*0.001),IF(AND(AM4=0,AM6=0),SQRT(0.001*0.001)))))</f>
      </c>
      <c r="AN8" s="332">
        <f>IF(AND(AN4&gt;0,AN6&gt;0),SQRT(AN4*AN6),IF(AND(AN4=0,AN6&gt;0),SQRT(0.001*AN6),IF(AND(AN4&gt;0,AN6=0),SQRT(AN4*0.001),IF(AND(AN4=0,AN6=0),SQRT(0.001*0.001)))))</f>
      </c>
      <c r="AO8" s="332">
        <f>IF(AND(AO4&gt;0,AO6&gt;0),SQRT(AO4*AO6),IF(AND(AO4=0,AO6&gt;0),SQRT(0.001*AO6),IF(AND(AO4&gt;0,AO6=0),SQRT(AO4*0.001),IF(AND(AO4=0,AO6=0),SQRT(0.001*0.001)))))</f>
      </c>
      <c r="AP8" s="332">
        <f>IF(AND(AP4&gt;0,AP6&gt;0),SQRT(AP4*AP6),IF(AND(AP4=0,AP6&gt;0),SQRT(0.001*AP6),IF(AND(AP4&gt;0,AP6=0),SQRT(AP4*0.001),IF(AND(AP4=0,AP6=0),SQRT(0.001*0.001)))))</f>
      </c>
      <c r="AQ8" s="332">
        <f>IF(AND(AQ4&gt;0,AQ6&gt;0),SQRT(AQ4*AQ6),IF(AND(AQ4=0,AQ6&gt;0),SQRT(0.001*AQ6),IF(AND(AQ4&gt;0,AQ6=0),SQRT(AQ4*0.001),IF(AND(AQ4=0,AQ6=0),SQRT(0.001*0.001)))))</f>
      </c>
      <c r="AR8" s="332">
        <f>IF(AND(AR4&gt;0,AR6&gt;0),SQRT(AR4*AR6),IF(AND(AR4=0,AR6&gt;0),SQRT(0.001*AR6),IF(AND(AR4&gt;0,AR6=0),SQRT(AR4*0.001),IF(AND(AR4=0,AR6=0),SQRT(0.001*0.001)))))</f>
      </c>
      <c r="AS8" s="332">
        <f>IF(AND(AS4&gt;0,AS6&gt;0),SQRT(AS4*AS6),IF(AND(AS4=0,AS6&gt;0),SQRT(0.001*AS6),IF(AND(AS4&gt;0,AS6=0),SQRT(AS4*0.001),IF(AND(AS4=0,AS6=0),SQRT(0.001*0.001)))))</f>
      </c>
      <c r="AT8" s="332">
        <f>IF(AND(AT4&gt;0,AT6&gt;0),SQRT(AT4*AT6),IF(AND(AT4=0,AT6&gt;0),SQRT(0.001*AT6),IF(AND(AT4&gt;0,AT6=0),SQRT(AT4*0.001),IF(AND(AT4=0,AT6=0),SQRT(0.001*0.001)))))</f>
      </c>
      <c r="AU8" s="332">
        <f>IF(AND(AU4&gt;0,AU6&gt;0),SQRT(AU4*AU6),IF(AND(AU4=0,AU6&gt;0),SQRT(0.001*AU6),IF(AND(AU4&gt;0,AU6=0),SQRT(AU4*0.001),IF(AND(AU4=0,AU6=0),SQRT(0.001*0.001)))))</f>
      </c>
      <c r="AV8" s="332">
        <f>IF(AND(AV4&gt;0,AV6&gt;0),SQRT(AV4*AV6),IF(AND(AV4=0,AV6&gt;0),SQRT(0.001*AV6),IF(AND(AV4&gt;0,AV6=0),SQRT(AV4*0.001),IF(AND(AV4=0,AV6=0),SQRT(0.001*0.001)))))</f>
      </c>
      <c r="AW8" s="332">
        <f>IF(AND(AW4&gt;0,AW6&gt;0),SQRT(AW4*AW6),IF(AND(AW4=0,AW6&gt;0),SQRT(0.001*AW6),IF(AND(AW4&gt;0,AW6=0),SQRT(AW4*0.001),IF(AND(AW4=0,AW6=0),SQRT(0.001*0.001)))))</f>
      </c>
      <c r="AX8" s="332">
        <f>IF(AND(AX4&gt;0,AX6&gt;0),SQRT(AX4*AX6),IF(AND(AX4=0,AX6&gt;0),SQRT(0.001*AX6),IF(AND(AX4&gt;0,AX6=0),SQRT(AX4*0.001),IF(AND(AX4=0,AX6=0),SQRT(0.001*0.001)))))</f>
      </c>
      <c r="AY8" s="332">
        <f>IF(AND(AY4&gt;0,AY6&gt;0),SQRT(AY4*AY6),IF(AND(AY4=0,AY6&gt;0),SQRT(0.001*AY6),IF(AND(AY4&gt;0,AY6=0),SQRT(AY4*0.001),IF(AND(AY4=0,AY6=0),SQRT(0.001*0.001)))))</f>
      </c>
      <c r="AZ8" s="332">
        <f>IF(AND(AZ4&gt;0,AZ6&gt;0),SQRT(AZ4*AZ6),IF(AND(AZ4=0,AZ6&gt;0),SQRT(0.001*AZ6),IF(AND(AZ4&gt;0,AZ6=0),SQRT(AZ4*0.001),IF(AND(AZ4=0,AZ6=0),SQRT(0.001*0.001)))))</f>
      </c>
      <c r="BA8" s="332">
        <f>IF(AND(BA4&gt;0,BA6&gt;0),SQRT(BA4*BA6),IF(AND(BA4=0,BA6&gt;0),SQRT(0.001*BA6),IF(AND(BA4&gt;0,BA6=0),SQRT(BA4*0.001),IF(AND(BA4=0,BA6=0),SQRT(0.001*0.001)))))</f>
      </c>
      <c r="BB8" s="332">
        <f>IF(AND(BB4&gt;0,BB6&gt;0),SQRT(BB4*BB6),IF(AND(BB4=0,BB6&gt;0),SQRT(0.001*BB6),IF(AND(BB4&gt;0,BB6=0),SQRT(BB4*0.001),IF(AND(BB4=0,BB6=0),SQRT(0.001*0.001)))))</f>
      </c>
      <c r="BC8" s="332">
        <f>IF(AND(BC4&gt;0,BC6&gt;0),SQRT(BC4*BC6),IF(AND(BC4=0,BC6&gt;0),SQRT(0.001*BC6),IF(AND(BC4&gt;0,BC6=0),SQRT(BC4*0.001),IF(AND(BC4=0,BC6=0),SQRT(0.001*0.001)))))</f>
      </c>
      <c r="BD8" s="332">
        <f>IF(AND(BD4&gt;0,BD6&gt;0),SQRT(BD4*BD6),IF(AND(BD4=0,BD6&gt;0),SQRT(0.001*BD6),IF(AND(BD4&gt;0,BD6=0),SQRT(BD4*0.001),IF(AND(BD4=0,BD6=0),SQRT(0.001*0.001)))))</f>
      </c>
      <c r="BE8" s="332">
        <f>IF(AND(BE4&gt;0,BE6&gt;0),SQRT(BE4*BE6),IF(AND(BE4=0,BE6&gt;0),SQRT(0.001*BE6),IF(AND(BE4&gt;0,BE6=0),SQRT(BE4*0.001),IF(AND(BE4=0,BE6=0),SQRT(0.001*0.001)))))</f>
      </c>
      <c r="BF8" s="332">
        <f>IF(AND(BF4&gt;0,BF6&gt;0),SQRT(BF4*BF6),IF(AND(BF4=0,BF6&gt;0),SQRT(0.001*BF6),IF(AND(BF4&gt;0,BF6=0),SQRT(BF4*0.001),IF(AND(BF4=0,BF6=0),SQRT(0.001*0.001)))))</f>
      </c>
      <c r="BG8" s="130"/>
      <c r="BH8" t="s" s="294">
        <f>BI8&amp;"_"&amp;IF(BJ8="男性",1,IF(BJ8="女性",2,IF(BJ8="合計",3)))</f>
        <v>286</v>
      </c>
      <c r="BI8" s="327">
        <f>BI7</f>
        <v>2030</v>
      </c>
      <c r="BJ8" t="s" s="323">
        <v>236</v>
      </c>
      <c r="BK8" s="328">
        <f>BK6+BK7</f>
      </c>
      <c r="BL8" s="328">
        <f>BL6+BL7</f>
        <v>40.2314650563482</v>
      </c>
      <c r="BM8" s="328">
        <f>BM6+BM7</f>
        <v>50.1744793041494</v>
      </c>
      <c r="BN8" s="328">
        <f>BN6+BN7</f>
        <v>58.2039370182757</v>
      </c>
      <c r="BO8" s="328">
        <f>BO6+BO7</f>
        <v>54.035286584056</v>
      </c>
      <c r="BP8" s="328">
        <f>BP6+BP7</f>
        <v>40.8387673136647</v>
      </c>
      <c r="BQ8" s="328">
        <f>BQ6+BQ7</f>
        <v>42.2685507676808</v>
      </c>
      <c r="BR8" s="328">
        <f>BR6+BR7</f>
        <v>65.0025533894465</v>
      </c>
      <c r="BS8" s="328">
        <f>BS6+BS7</f>
        <v>73.9053558926617</v>
      </c>
      <c r="BT8" s="328">
        <f>BT6+BT7</f>
        <v>93.3671896874524</v>
      </c>
      <c r="BU8" s="328">
        <f>BU6+BU7</f>
        <v>143.069604764637</v>
      </c>
      <c r="BV8" s="328">
        <f>BV6+BV7</f>
        <v>115.293683682834</v>
      </c>
      <c r="BW8" s="328">
        <f>BW6+BW7</f>
        <v>131.899194543450</v>
      </c>
      <c r="BX8" s="328">
        <f>BX6+BX7</f>
        <v>173.334717021461</v>
      </c>
      <c r="BY8" s="328">
        <f>BY6+BY7</f>
        <v>260.508226446580</v>
      </c>
      <c r="BZ8" s="328">
        <f>BZ6+BZ7</f>
        <v>254.338549626662</v>
      </c>
      <c r="CA8" s="328">
        <f>CA6+CA7</f>
        <v>252.482555824474</v>
      </c>
      <c r="CB8" s="328">
        <f>CB6+CB7</f>
        <v>145.080667676175</v>
      </c>
      <c r="CC8" s="328">
        <f>CC6+CC7</f>
        <v>82.93904363686551</v>
      </c>
      <c r="CD8" s="328">
        <f>CD6+CD7</f>
        <v>19.1900002149143</v>
      </c>
      <c r="CE8" s="328">
        <f>CE6+CE7</f>
        <v>1.28780508607962</v>
      </c>
      <c r="CF8" s="328">
        <f>SUM(BK8:CE8)</f>
      </c>
      <c r="CG8" s="328">
        <f>BL8*3/5+BM8*3/5</f>
        <v>54.2435666162986</v>
      </c>
      <c r="CH8" s="328">
        <f>BM8*2/5+BN8*1/5</f>
        <v>31.7105791253149</v>
      </c>
      <c r="CI8" s="328">
        <f>SUM(BX8:CE8)</f>
        <v>1189.161565533210</v>
      </c>
      <c r="CJ8" s="328">
        <f>SUM(BZ8:CE8)</f>
        <v>755.318622065170</v>
      </c>
      <c r="CK8" s="329">
        <f>CI8/CF8</f>
      </c>
      <c r="CL8" s="329">
        <f>CJ8/CF8</f>
      </c>
      <c r="CM8" s="328">
        <f>SUM(BO8:BR8)</f>
        <v>202.145158054848</v>
      </c>
      <c r="CN8" s="130"/>
      <c r="CO8" t="s" s="294">
        <f>CP8&amp;"_"&amp;IF(CQ8="男性",1,IF(CQ8="女性",2,IF(CQ8="合計",3)))</f>
        <v>286</v>
      </c>
      <c r="CP8" s="327">
        <f>CP7</f>
        <v>2030</v>
      </c>
      <c r="CQ8" t="s" s="323">
        <v>236</v>
      </c>
      <c r="CR8" s="328">
        <f>CR6+CR7</f>
        <v>34.5777721890905</v>
      </c>
      <c r="CS8" s="328">
        <f>CS6+CS7</f>
        <v>42.1255539001248</v>
      </c>
      <c r="CT8" s="328">
        <f>CT6+CT7</f>
        <v>52.1744793041494</v>
      </c>
      <c r="CU8" s="328">
        <f>CU6+CU7</f>
        <v>59.8640622130818</v>
      </c>
      <c r="CV8" s="328">
        <f>CV6+CV7</f>
        <v>54.035286584056</v>
      </c>
      <c r="CW8" s="328">
        <f>CW6+CW7</f>
        <v>44.8387673136647</v>
      </c>
      <c r="CX8" s="328">
        <f>CX6+CX7</f>
        <v>45.8066295618459</v>
      </c>
      <c r="CY8" s="328">
        <f>CY6+CY7</f>
        <v>65.0025533894465</v>
      </c>
      <c r="CZ8" s="328">
        <f>CZ6+CZ7</f>
        <v>74.9053558926617</v>
      </c>
      <c r="DA8" s="328">
        <f>DA6+DA7</f>
        <v>94.3012040617773</v>
      </c>
      <c r="DB8" s="328">
        <f>DB6+DB7</f>
        <v>143.069604764637</v>
      </c>
      <c r="DC8" s="328">
        <f>DC6+DC7</f>
        <v>115.293683682834</v>
      </c>
      <c r="DD8" s="328">
        <f>DD6+DD7</f>
        <v>131.899194543450</v>
      </c>
      <c r="DE8" s="328">
        <f>DE6+DE7</f>
        <v>173.334717021461</v>
      </c>
      <c r="DF8" s="328">
        <f>DF6+DF7</f>
        <v>260.508226446580</v>
      </c>
      <c r="DG8" s="328">
        <f>DG6+DG7</f>
        <v>254.338549626662</v>
      </c>
      <c r="DH8" s="328">
        <f>DH6+DH7</f>
        <v>252.482555824474</v>
      </c>
      <c r="DI8" s="328">
        <f>DI6+DI7</f>
        <v>145.080667676175</v>
      </c>
      <c r="DJ8" s="328">
        <f>DJ6+DJ7</f>
        <v>82.93904363686551</v>
      </c>
      <c r="DK8" s="328">
        <f>DK6+DK7</f>
        <v>19.1900002149143</v>
      </c>
      <c r="DL8" s="328">
        <f>DL6+DL7</f>
        <v>1.28780508607962</v>
      </c>
      <c r="DM8" s="328">
        <f>SUM(CR8:DL8)</f>
        <v>2147.055712934030</v>
      </c>
      <c r="DN8" s="328">
        <f>CS8*3/5+CT8*3/5</f>
        <v>56.5800199225645</v>
      </c>
      <c r="DO8" s="328">
        <f>CT8*2/5+CU8*1/5</f>
        <v>32.8426041642761</v>
      </c>
      <c r="DP8" s="328">
        <f>SUM(DE8:DL8)</f>
        <v>1189.161565533210</v>
      </c>
      <c r="DQ8" s="328">
        <f>SUM(DG8:DL8)</f>
        <v>755.318622065170</v>
      </c>
      <c r="DR8" s="329">
        <f>DP8/DM8</f>
        <v>0.553856874029681</v>
      </c>
      <c r="DS8" s="329">
        <f>DQ8/DM8</f>
        <v>0.351792744601396</v>
      </c>
      <c r="DT8" s="328">
        <f>SUM(CV8:CY8)</f>
        <v>209.683236849013</v>
      </c>
      <c r="DU8" s="130"/>
      <c r="DV8" t="s" s="52">
        <v>108</v>
      </c>
      <c r="DW8" s="331">
        <f>(CF13-Y13)/4</f>
      </c>
      <c r="DX8" s="327">
        <f>DX7</f>
        <v>2030</v>
      </c>
      <c r="DY8" t="s" s="323">
        <v>236</v>
      </c>
      <c r="DZ8" s="328">
        <f>DZ6+DZ7</f>
      </c>
      <c r="EA8" s="328">
        <f>EA6+EA7</f>
        <v>40.2314650563482</v>
      </c>
      <c r="EB8" s="328">
        <f>EB6+EB7</f>
        <v>50.1744793041494</v>
      </c>
      <c r="EC8" s="328">
        <f>EC6+EC7</f>
        <v>58.2039370182757</v>
      </c>
      <c r="ED8" s="328">
        <f>ED6+ED7</f>
        <v>54.035286584056</v>
      </c>
      <c r="EE8" s="328">
        <f>EE6+EE7</f>
        <v>176.838767313665</v>
      </c>
      <c r="EF8" s="328">
        <f>EF6+EF7</f>
        <v>298.563229769297</v>
      </c>
      <c r="EG8" s="328">
        <f>EG6+EG7</f>
        <v>328.508403124898</v>
      </c>
      <c r="EH8" s="328">
        <f>EH6+EH7</f>
        <v>198.304870404605</v>
      </c>
      <c r="EI8" s="328">
        <f>EI6+EI7</f>
        <v>93.3671896874524</v>
      </c>
      <c r="EJ8" s="328">
        <f>EJ6+EJ7</f>
        <v>143.069604764637</v>
      </c>
      <c r="EK8" s="328">
        <f>EK6+EK7</f>
        <v>115.293683682834</v>
      </c>
      <c r="EL8" s="328">
        <f>EL6+EL7</f>
        <v>131.899194543450</v>
      </c>
      <c r="EM8" s="328">
        <f>EM6+EM7</f>
        <v>173.334717021461</v>
      </c>
      <c r="EN8" s="328">
        <f>EN6+EN7</f>
        <v>260.508226446580</v>
      </c>
      <c r="EO8" s="328">
        <f>EO6+EO7</f>
        <v>254.338549626662</v>
      </c>
      <c r="EP8" s="328">
        <f>EP6+EP7</f>
        <v>252.482555824474</v>
      </c>
      <c r="EQ8" s="328">
        <f>EQ6+EQ7</f>
        <v>145.080667676175</v>
      </c>
      <c r="ER8" s="328">
        <f>ER6+ER7</f>
        <v>82.93904363686551</v>
      </c>
      <c r="ES8" s="328">
        <f>ES6+ES7</f>
        <v>19.1900002149143</v>
      </c>
      <c r="ET8" s="328">
        <f>ET6+ET7</f>
        <v>1.28780508607962</v>
      </c>
      <c r="EU8" s="328">
        <f>SUM(DZ8:ET8)</f>
      </c>
      <c r="EV8" s="328">
        <f>EA8*3/5+EB8*3/5</f>
        <v>54.2435666162986</v>
      </c>
      <c r="EW8" s="328">
        <f>EB8*2/5+EC8*1/5</f>
        <v>31.7105791253149</v>
      </c>
      <c r="EX8" s="328">
        <f>SUM(EM8:ET8)</f>
        <v>1189.161565533210</v>
      </c>
      <c r="EY8" s="328">
        <f>SUM(EO8:ET8)</f>
        <v>755.318622065170</v>
      </c>
      <c r="EZ8" s="329">
        <f>EX8/EU8</f>
      </c>
      <c r="FA8" s="329">
        <f>EY8/EU8</f>
      </c>
      <c r="FB8" s="328">
        <f>SUM(ED8:EG8)</f>
        <v>857.945686791916</v>
      </c>
    </row>
    <row r="9" ht="16" customHeight="1">
      <c r="A9" t="s" s="282">
        <f>B9&amp;"_"&amp;IF(C9="男性",1,IF(C9="女性",2,IF(C9="合計",3)))</f>
        <v>287</v>
      </c>
      <c r="B9" s="312">
        <v>2015</v>
      </c>
      <c r="C9" t="s" s="313">
        <v>107</v>
      </c>
      <c r="D9" s="314">
        <v>40</v>
      </c>
      <c r="E9" s="314">
        <v>51</v>
      </c>
      <c r="F9" s="314">
        <v>55</v>
      </c>
      <c r="G9" s="314">
        <v>52</v>
      </c>
      <c r="H9" s="314">
        <v>77</v>
      </c>
      <c r="I9" s="314">
        <v>38</v>
      </c>
      <c r="J9" s="314">
        <v>63</v>
      </c>
      <c r="K9" s="314">
        <v>84</v>
      </c>
      <c r="L9" s="314">
        <v>72</v>
      </c>
      <c r="M9" s="314">
        <v>72</v>
      </c>
      <c r="N9" s="314">
        <v>86</v>
      </c>
      <c r="O9" s="314">
        <v>158</v>
      </c>
      <c r="P9" s="314">
        <v>162</v>
      </c>
      <c r="Q9" s="314">
        <v>192</v>
      </c>
      <c r="R9" s="314">
        <v>137</v>
      </c>
      <c r="S9" s="314">
        <v>144</v>
      </c>
      <c r="T9" s="314">
        <v>119</v>
      </c>
      <c r="U9" s="314">
        <v>58</v>
      </c>
      <c r="V9" s="314">
        <v>17</v>
      </c>
      <c r="W9" s="314">
        <v>2</v>
      </c>
      <c r="X9" s="314">
        <v>1</v>
      </c>
      <c r="Y9" s="314">
        <f>SUM(D9:X9)</f>
        <v>1680</v>
      </c>
      <c r="Z9" s="314">
        <f>E9*3/5+F9*3/5</f>
        <v>63.6</v>
      </c>
      <c r="AA9" s="314">
        <f>F9*2/5+G9*1/5</f>
        <v>32.4</v>
      </c>
      <c r="AB9" s="314">
        <f>SUM(Q9:X9)</f>
        <v>670</v>
      </c>
      <c r="AC9" s="314">
        <f>SUM(S9:X9)</f>
        <v>341</v>
      </c>
      <c r="AD9" s="315">
        <f>AB9/Y9</f>
        <v>0.398809523809524</v>
      </c>
      <c r="AE9" s="315">
        <f>AC9/Y9</f>
        <v>0.20297619047619</v>
      </c>
      <c r="AF9" s="314">
        <f>SUM(H9:K9)</f>
        <v>262</v>
      </c>
      <c r="AG9" s="130"/>
      <c r="AH9" s="11"/>
      <c r="AI9" s="196"/>
      <c r="AJ9" s="196"/>
      <c r="AK9" s="196"/>
      <c r="AL9" t="s" s="333">
        <v>288</v>
      </c>
      <c r="AM9" s="334">
        <v>4</v>
      </c>
      <c r="AN9" s="334">
        <f>AM9+1</f>
        <v>5</v>
      </c>
      <c r="AO9" s="334">
        <f>AN9+1</f>
        <v>6</v>
      </c>
      <c r="AP9" s="334">
        <f>AO9+1</f>
        <v>7</v>
      </c>
      <c r="AQ9" s="334">
        <f>AP9+1</f>
        <v>8</v>
      </c>
      <c r="AR9" s="334">
        <f>AQ9+1</f>
        <v>9</v>
      </c>
      <c r="AS9" s="334">
        <f>AR9+1</f>
        <v>10</v>
      </c>
      <c r="AT9" s="334">
        <f>AS9+1</f>
        <v>11</v>
      </c>
      <c r="AU9" s="334">
        <f>AT9+1</f>
        <v>12</v>
      </c>
      <c r="AV9" s="334">
        <f>AU9+1</f>
        <v>13</v>
      </c>
      <c r="AW9" s="334">
        <f>AV9+1</f>
        <v>14</v>
      </c>
      <c r="AX9" s="334">
        <f>AW9+1</f>
        <v>15</v>
      </c>
      <c r="AY9" s="334">
        <f>AX9+1</f>
        <v>16</v>
      </c>
      <c r="AZ9" s="334">
        <f>AY9+1</f>
        <v>17</v>
      </c>
      <c r="BA9" s="334">
        <f>AZ9+1</f>
        <v>18</v>
      </c>
      <c r="BB9" s="334">
        <f>BA9+1</f>
        <v>19</v>
      </c>
      <c r="BC9" s="334">
        <f>BB9+1</f>
        <v>20</v>
      </c>
      <c r="BD9" s="334">
        <f>BC9+1</f>
        <v>21</v>
      </c>
      <c r="BE9" s="334">
        <f>BD9+1</f>
        <v>22</v>
      </c>
      <c r="BF9" s="334">
        <f>BE9+1</f>
        <v>23</v>
      </c>
      <c r="BG9" s="11"/>
      <c r="BH9" t="s" s="294">
        <f>BI9&amp;"_"&amp;IF(BJ9="男性",1,IF(BJ9="女性",2,IF(BJ9="合計",3)))</f>
        <v>289</v>
      </c>
      <c r="BI9" s="312">
        <v>2035</v>
      </c>
      <c r="BJ9" t="s" s="313">
        <v>107</v>
      </c>
      <c r="BK9" s="314">
        <f>CM10*$AK$13</f>
      </c>
      <c r="BL9" s="314">
        <v>17.5863688044219</v>
      </c>
      <c r="BM9" s="314">
        <v>24.2879585888894</v>
      </c>
      <c r="BN9" s="314">
        <v>25.7557778931117</v>
      </c>
      <c r="BO9" s="314">
        <v>28.6722916859881</v>
      </c>
      <c r="BP9" s="314">
        <v>14.2268289517451</v>
      </c>
      <c r="BQ9" s="314">
        <v>14.7592220342003</v>
      </c>
      <c r="BR9" s="314">
        <v>19.3815022785595</v>
      </c>
      <c r="BS9" s="314">
        <v>32.4759540420677</v>
      </c>
      <c r="BT9" s="314">
        <v>29.3834531113572</v>
      </c>
      <c r="BU9" s="314">
        <v>47.8917107162574</v>
      </c>
      <c r="BV9" s="314">
        <v>70.789689921253</v>
      </c>
      <c r="BW9" s="314">
        <v>65.2898613224362</v>
      </c>
      <c r="BX9" s="314">
        <v>56.9706360169212</v>
      </c>
      <c r="BY9" s="314">
        <v>69.27386502129831</v>
      </c>
      <c r="BZ9" s="314">
        <v>113.833329980528</v>
      </c>
      <c r="CA9" s="314">
        <v>92.9896376060604</v>
      </c>
      <c r="CB9" s="314">
        <v>71.3408993548252</v>
      </c>
      <c r="CC9" s="314">
        <v>23.9136777882025</v>
      </c>
      <c r="CD9" s="314">
        <v>5.79051859931512</v>
      </c>
      <c r="CE9" s="314">
        <v>0.088926092783044</v>
      </c>
      <c r="CF9" s="314">
        <f>SUM(BK9:CE9)</f>
      </c>
      <c r="CG9" s="314">
        <f>BL9*3/5+BM9*3/5</f>
        <v>25.1245964359868</v>
      </c>
      <c r="CH9" s="314">
        <f>BM9*2/5+BN9*1/5</f>
        <v>14.8663390141781</v>
      </c>
      <c r="CI9" s="314">
        <f>SUM(BX9:CE9)</f>
        <v>434.201490459934</v>
      </c>
      <c r="CJ9" s="314">
        <f>SUM(BZ9:CE9)</f>
        <v>307.956989421714</v>
      </c>
      <c r="CK9" s="315">
        <f>CI9/CF9</f>
      </c>
      <c r="CL9" s="315">
        <f>CJ9/CF9</f>
      </c>
      <c r="CM9" s="314">
        <f>SUM(BO9:BR9)</f>
        <v>77.03984495049301</v>
      </c>
      <c r="CN9" s="130"/>
      <c r="CO9" t="s" s="294">
        <f>CP9&amp;"_"&amp;IF(CQ9="男性",1,IF(CQ9="女性",2,IF(CQ9="合計",3)))</f>
        <v>289</v>
      </c>
      <c r="CP9" s="312">
        <v>2035</v>
      </c>
      <c r="CQ9" t="s" s="313">
        <v>107</v>
      </c>
      <c r="CR9" s="314">
        <v>15.923569220439</v>
      </c>
      <c r="CS9" s="314">
        <v>19.2558855014742</v>
      </c>
      <c r="CT9" s="314">
        <v>26.3208532170379</v>
      </c>
      <c r="CU9" s="314">
        <v>26.5807070345553</v>
      </c>
      <c r="CV9" s="314">
        <v>29.4059537315464</v>
      </c>
      <c r="CW9" s="314">
        <v>16.2268289517451</v>
      </c>
      <c r="CX9" s="314">
        <v>16.5570500356929</v>
      </c>
      <c r="CY9" s="314">
        <v>21.1344128145089</v>
      </c>
      <c r="CZ9" s="314">
        <v>32.4759540420677</v>
      </c>
      <c r="DA9" s="314">
        <v>29.3834531113572</v>
      </c>
      <c r="DB9" s="314">
        <v>47.8917107162574</v>
      </c>
      <c r="DC9" s="314">
        <v>70.789689921253</v>
      </c>
      <c r="DD9" s="314">
        <v>65.2898613224362</v>
      </c>
      <c r="DE9" s="314">
        <v>56.9706360169212</v>
      </c>
      <c r="DF9" s="314">
        <v>69.27386502129831</v>
      </c>
      <c r="DG9" s="314">
        <v>113.833329980528</v>
      </c>
      <c r="DH9" s="314">
        <v>92.9896376060604</v>
      </c>
      <c r="DI9" s="314">
        <v>71.3408993548252</v>
      </c>
      <c r="DJ9" s="314">
        <v>23.9136777882025</v>
      </c>
      <c r="DK9" s="314">
        <v>5.79051859931512</v>
      </c>
      <c r="DL9" s="314">
        <v>0.088926092783044</v>
      </c>
      <c r="DM9" s="314">
        <f>SUM(CR9:DL9)</f>
        <v>851.4374200803049</v>
      </c>
      <c r="DN9" s="314">
        <f>CS9*3/5+CT9*3/5</f>
        <v>27.3460432311073</v>
      </c>
      <c r="DO9" s="314">
        <f>CT9*2/5+CU9*1/5</f>
        <v>15.8444826937262</v>
      </c>
      <c r="DP9" s="314">
        <f>SUM(DE9:DL9)</f>
        <v>434.201490459934</v>
      </c>
      <c r="DQ9" s="314">
        <f>SUM(DG9:DL9)</f>
        <v>307.956989421714</v>
      </c>
      <c r="DR9" s="315">
        <f>DP9/DM9</f>
        <v>0.509962893595846</v>
      </c>
      <c r="DS9" s="315">
        <f>DQ9/DM9</f>
        <v>0.361690691715979</v>
      </c>
      <c r="DT9" s="314">
        <f>SUM(CV9:CY9)</f>
        <v>83.3242455334933</v>
      </c>
      <c r="DU9" s="130"/>
      <c r="DV9" t="s" s="52">
        <v>290</v>
      </c>
      <c r="DW9" s="331">
        <f>DW7+DW8</f>
      </c>
      <c r="DX9" s="312">
        <v>2035</v>
      </c>
      <c r="DY9" t="s" s="313">
        <v>107</v>
      </c>
      <c r="DZ9" s="314">
        <f>FB10*$AK$13</f>
      </c>
      <c r="EA9" s="314">
        <v>75.2139365035612</v>
      </c>
      <c r="EB9" s="314">
        <v>24.2879585888894</v>
      </c>
      <c r="EC9" s="314">
        <v>25.7557778931117</v>
      </c>
      <c r="ED9" s="314">
        <v>28.6722916859881</v>
      </c>
      <c r="EE9" s="314">
        <v>82.22682895174511</v>
      </c>
      <c r="EF9" s="314">
        <v>143.885374084946</v>
      </c>
      <c r="EG9" s="314">
        <v>213.281528425915</v>
      </c>
      <c r="EH9" s="314">
        <v>156.2363187485</v>
      </c>
      <c r="EI9" s="314">
        <v>91.2152524219286</v>
      </c>
      <c r="EJ9" s="314">
        <v>47.8917107162574</v>
      </c>
      <c r="EK9" s="314">
        <v>70.789689921253</v>
      </c>
      <c r="EL9" s="314">
        <v>65.2898613224362</v>
      </c>
      <c r="EM9" s="314">
        <v>56.9706360169212</v>
      </c>
      <c r="EN9" s="314">
        <v>69.27386502129831</v>
      </c>
      <c r="EO9" s="314">
        <v>113.833329980528</v>
      </c>
      <c r="EP9" s="314">
        <v>92.9896376060604</v>
      </c>
      <c r="EQ9" s="314">
        <v>71.3408993548252</v>
      </c>
      <c r="ER9" s="314">
        <v>23.9136777882025</v>
      </c>
      <c r="ES9" s="314">
        <v>5.79051859931512</v>
      </c>
      <c r="ET9" s="314">
        <v>0.088926092783044</v>
      </c>
      <c r="EU9" s="314">
        <f>SUM(DZ9:ET9)</f>
      </c>
      <c r="EV9" s="314">
        <f>EA9*3/5+EB9*3/5</f>
        <v>59.7011370554704</v>
      </c>
      <c r="EW9" s="314">
        <f>EB9*2/5+EC9*1/5</f>
        <v>14.8663390141781</v>
      </c>
      <c r="EX9" s="314">
        <f>SUM(EM9:ET9)</f>
        <v>434.201490459934</v>
      </c>
      <c r="EY9" s="314">
        <f>SUM(EO9:ET9)</f>
        <v>307.956989421714</v>
      </c>
      <c r="EZ9" s="315">
        <f>EX9/EU9</f>
      </c>
      <c r="FA9" s="315">
        <f>EY9/EU9</f>
      </c>
      <c r="FB9" s="314">
        <f>SUM(ED9:EG9)</f>
        <v>468.066023148594</v>
      </c>
    </row>
    <row r="10" ht="16" customHeight="1">
      <c r="A10" t="s" s="282">
        <f>B10&amp;"_"&amp;IF(C10="男性",1,IF(C10="女性",2,IF(C10="合計",3)))</f>
        <v>291</v>
      </c>
      <c r="B10" s="319">
        <v>2015</v>
      </c>
      <c r="C10" t="s" s="320">
        <v>108</v>
      </c>
      <c r="D10" s="321">
        <v>41</v>
      </c>
      <c r="E10" s="321">
        <v>50</v>
      </c>
      <c r="F10" s="321">
        <v>52</v>
      </c>
      <c r="G10" s="321">
        <v>38</v>
      </c>
      <c r="H10" s="321">
        <v>44</v>
      </c>
      <c r="I10" s="321">
        <v>61</v>
      </c>
      <c r="J10" s="321">
        <v>65</v>
      </c>
      <c r="K10" s="321">
        <v>80</v>
      </c>
      <c r="L10" s="321">
        <v>59</v>
      </c>
      <c r="M10" s="321">
        <v>70</v>
      </c>
      <c r="N10" s="321">
        <v>99</v>
      </c>
      <c r="O10" s="321">
        <v>134</v>
      </c>
      <c r="P10" s="321">
        <v>164</v>
      </c>
      <c r="Q10" s="321">
        <v>190</v>
      </c>
      <c r="R10" s="321">
        <v>162</v>
      </c>
      <c r="S10" s="321">
        <v>176</v>
      </c>
      <c r="T10" s="321">
        <v>173</v>
      </c>
      <c r="U10" s="321">
        <v>120</v>
      </c>
      <c r="V10" s="321">
        <v>55</v>
      </c>
      <c r="W10" s="321">
        <v>7</v>
      </c>
      <c r="X10" s="321">
        <v>1</v>
      </c>
      <c r="Y10" s="321">
        <f>SUM(D10:X10)</f>
        <v>1841</v>
      </c>
      <c r="Z10" s="321">
        <f>E10*3/5+F10*3/5</f>
        <v>61.2</v>
      </c>
      <c r="AA10" s="321">
        <f>F10*2/5+G10*1/5</f>
        <v>28.4</v>
      </c>
      <c r="AB10" s="321">
        <f>SUM(Q10:X10)</f>
        <v>884</v>
      </c>
      <c r="AC10" s="321">
        <f>SUM(S10:X10)</f>
        <v>532</v>
      </c>
      <c r="AD10" s="322">
        <f>AB10/Y10</f>
        <v>0.48017381857686</v>
      </c>
      <c r="AE10" s="322">
        <f>AC10/Y10</f>
        <v>0.288973384030418</v>
      </c>
      <c r="AF10" s="321">
        <f>SUM(H10:K10)</f>
        <v>250</v>
      </c>
      <c r="AG10" s="130"/>
      <c r="AH10" s="11"/>
      <c r="AI10" s="11"/>
      <c r="AJ10" s="11"/>
      <c r="AK10" s="11"/>
      <c r="AL10" s="335"/>
      <c r="AM10" s="57">
        <v>5</v>
      </c>
      <c r="AN10" s="57">
        <f>AM10+1</f>
        <v>6</v>
      </c>
      <c r="AO10" s="57">
        <f>AN10+1</f>
        <v>7</v>
      </c>
      <c r="AP10" s="57">
        <f>AO10+1</f>
        <v>8</v>
      </c>
      <c r="AQ10" s="57">
        <f>AP10+1</f>
        <v>9</v>
      </c>
      <c r="AR10" s="57">
        <f>AQ10+1</f>
        <v>10</v>
      </c>
      <c r="AS10" s="57">
        <f>AR10+1</f>
        <v>11</v>
      </c>
      <c r="AT10" s="57">
        <f>AS10+1</f>
        <v>12</v>
      </c>
      <c r="AU10" s="57">
        <f>AT10+1</f>
        <v>13</v>
      </c>
      <c r="AV10" s="57">
        <f>AU10+1</f>
        <v>14</v>
      </c>
      <c r="AW10" s="57">
        <f>AV10+1</f>
        <v>15</v>
      </c>
      <c r="AX10" s="57">
        <f>AW10+1</f>
        <v>16</v>
      </c>
      <c r="AY10" s="57">
        <f>AX10+1</f>
        <v>17</v>
      </c>
      <c r="AZ10" s="57">
        <f>AY10+1</f>
        <v>18</v>
      </c>
      <c r="BA10" s="57">
        <f>AZ10+1</f>
        <v>19</v>
      </c>
      <c r="BB10" s="57">
        <f>BA10+1</f>
        <v>20</v>
      </c>
      <c r="BC10" s="57">
        <f>BB10+1</f>
        <v>21</v>
      </c>
      <c r="BD10" s="57">
        <f>BC10+1</f>
        <v>22</v>
      </c>
      <c r="BE10" s="57">
        <f>BD10+1</f>
        <v>23</v>
      </c>
      <c r="BF10" s="57">
        <f>BE10+1</f>
        <v>24</v>
      </c>
      <c r="BG10" s="11"/>
      <c r="BH10" t="s" s="294">
        <f>BI10&amp;"_"&amp;IF(BJ10="男性",1,IF(BJ10="女性",2,IF(BJ10="合計",3)))</f>
        <v>292</v>
      </c>
      <c r="BI10" s="319">
        <f>BI9</f>
        <v>2035</v>
      </c>
      <c r="BJ10" t="s" s="320">
        <v>108</v>
      </c>
      <c r="BK10" s="321">
        <f>CM10*$AK$14</f>
      </c>
      <c r="BL10" s="321">
        <v>12.3519733268335</v>
      </c>
      <c r="BM10" s="321">
        <v>14.7435971941587</v>
      </c>
      <c r="BN10" s="321">
        <v>15.8291976656568</v>
      </c>
      <c r="BO10" s="321">
        <v>15.8402586185784</v>
      </c>
      <c r="BP10" s="321">
        <v>21.366543420002</v>
      </c>
      <c r="BQ10" s="321">
        <v>21.2483051528664</v>
      </c>
      <c r="BR10" s="321">
        <v>20.1529408809175</v>
      </c>
      <c r="BS10" s="321">
        <v>27.0193710036568</v>
      </c>
      <c r="BT10" s="321">
        <v>41.2151716861501</v>
      </c>
      <c r="BU10" s="321">
        <v>43.4240605665226</v>
      </c>
      <c r="BV10" s="321">
        <v>70.08633704544989</v>
      </c>
      <c r="BW10" s="321">
        <v>48.7386308152918</v>
      </c>
      <c r="BX10" s="321">
        <v>69.66419830005781</v>
      </c>
      <c r="BY10" s="321">
        <v>92.5523564129208</v>
      </c>
      <c r="BZ10" s="321">
        <v>112.096748769739</v>
      </c>
      <c r="CA10" s="321">
        <v>112.430260112751</v>
      </c>
      <c r="CB10" s="321">
        <v>97.70853822387259</v>
      </c>
      <c r="CC10" s="321">
        <v>42.4073804753924</v>
      </c>
      <c r="CD10" s="321">
        <v>11.4770049567115</v>
      </c>
      <c r="CE10" s="321">
        <v>1.30329637768357</v>
      </c>
      <c r="CF10" s="321">
        <f>SUM(BK10:CE10)</f>
      </c>
      <c r="CG10" s="321">
        <f>BL10*3/5+BM10*3/5</f>
        <v>16.2573423125953</v>
      </c>
      <c r="CH10" s="321">
        <f>BM10*2/5+BN10*1/5</f>
        <v>9.06327841079484</v>
      </c>
      <c r="CI10" s="321">
        <f>SUM(BX10:CE10)</f>
        <v>539.6397836291291</v>
      </c>
      <c r="CJ10" s="321">
        <f>SUM(BZ10:CE10)</f>
        <v>377.423228916150</v>
      </c>
      <c r="CK10" s="322">
        <f>CI10/CF10</f>
      </c>
      <c r="CL10" s="322">
        <f>CJ10/CF10</f>
      </c>
      <c r="CM10" s="321">
        <f>SUM(BO10:BR10)</f>
        <v>78.6080480723643</v>
      </c>
      <c r="CN10" s="130"/>
      <c r="CO10" t="s" s="294">
        <f>CP10&amp;"_"&amp;IF(CQ10="男性",1,IF(CQ10="女性",2,IF(CQ10="合計",3)))</f>
        <v>292</v>
      </c>
      <c r="CP10" s="319">
        <f>CP9</f>
        <v>2035</v>
      </c>
      <c r="CQ10" t="s" s="320">
        <v>108</v>
      </c>
      <c r="CR10" s="321">
        <v>12.8490065430923</v>
      </c>
      <c r="CS10" s="321">
        <v>13.7077404636127</v>
      </c>
      <c r="CT10" s="321">
        <v>16.533291901264</v>
      </c>
      <c r="CU10" s="321">
        <v>16.6643937190194</v>
      </c>
      <c r="CV10" s="321">
        <v>16.3497832839435</v>
      </c>
      <c r="CW10" s="321">
        <v>23.366543420002</v>
      </c>
      <c r="CX10" s="321">
        <v>22.988555945539</v>
      </c>
      <c r="CY10" s="321">
        <v>21.7192889700478</v>
      </c>
      <c r="CZ10" s="321">
        <v>28.0193710036568</v>
      </c>
      <c r="DA10" s="321">
        <v>42.1491860604751</v>
      </c>
      <c r="DB10" s="321">
        <v>44.3438612669929</v>
      </c>
      <c r="DC10" s="321">
        <v>70.08633704544989</v>
      </c>
      <c r="DD10" s="321">
        <v>48.7386308152918</v>
      </c>
      <c r="DE10" s="321">
        <v>69.66419830005781</v>
      </c>
      <c r="DF10" s="321">
        <v>92.5523564129208</v>
      </c>
      <c r="DG10" s="321">
        <v>112.096748769739</v>
      </c>
      <c r="DH10" s="321">
        <v>112.430260112751</v>
      </c>
      <c r="DI10" s="321">
        <v>97.70853822387259</v>
      </c>
      <c r="DJ10" s="321">
        <v>42.4073804753924</v>
      </c>
      <c r="DK10" s="321">
        <v>11.4770049567115</v>
      </c>
      <c r="DL10" s="321">
        <v>1.30329637768357</v>
      </c>
      <c r="DM10" s="321">
        <f>SUM(CR10:DL10)</f>
        <v>917.1557740675159</v>
      </c>
      <c r="DN10" s="321">
        <f>CS10*3/5+CT10*3/5</f>
        <v>18.144619418926</v>
      </c>
      <c r="DO10" s="321">
        <f>CT10*2/5+CU10*1/5</f>
        <v>9.946195504309481</v>
      </c>
      <c r="DP10" s="321">
        <f>SUM(DE10:DL10)</f>
        <v>539.6397836291291</v>
      </c>
      <c r="DQ10" s="321">
        <f>SUM(DG10:DL10)</f>
        <v>377.423228916150</v>
      </c>
      <c r="DR10" s="322">
        <f>DP10/DM10</f>
        <v>0.588384000719821</v>
      </c>
      <c r="DS10" s="322">
        <f>DQ10/DM10</f>
        <v>0.411514858857952</v>
      </c>
      <c r="DT10" s="321">
        <f>SUM(CV10:CY10)</f>
        <v>84.4241716195323</v>
      </c>
      <c r="DU10" s="130"/>
      <c r="DV10" t="s" s="336">
        <v>293</v>
      </c>
      <c r="DW10" s="331">
        <f>((SUM(BL12:BL13)*3/5+SUM(BM12:BM13)+SUM(BN12:BN13)*1/5)-(SUM(E12:E13)*3/5+SUM(F12:F13)+SUM(G12:G13)*1/5))/4</f>
        <v>-24.4338274874947</v>
      </c>
      <c r="DX10" s="319">
        <f>DX9</f>
        <v>2035</v>
      </c>
      <c r="DY10" t="s" s="320">
        <v>108</v>
      </c>
      <c r="DZ10" s="321">
        <f>FB10*$AK$14</f>
      </c>
      <c r="EA10" s="321">
        <v>52.8273089135114</v>
      </c>
      <c r="EB10" s="321">
        <v>14.7435971941587</v>
      </c>
      <c r="EC10" s="321">
        <v>15.8291976656568</v>
      </c>
      <c r="ED10" s="321">
        <v>15.8402586185784</v>
      </c>
      <c r="EE10" s="321">
        <v>89.366543420002</v>
      </c>
      <c r="EF10" s="321">
        <v>148.416832103736</v>
      </c>
      <c r="EG10" s="321">
        <v>202.613557721724</v>
      </c>
      <c r="EH10" s="321">
        <v>144.323132651096</v>
      </c>
      <c r="EI10" s="321">
        <v>98.87798465950409</v>
      </c>
      <c r="EJ10" s="321">
        <v>43.4240605665226</v>
      </c>
      <c r="EK10" s="321">
        <v>70.08633704544989</v>
      </c>
      <c r="EL10" s="321">
        <v>48.7386308152918</v>
      </c>
      <c r="EM10" s="321">
        <v>69.66419830005781</v>
      </c>
      <c r="EN10" s="321">
        <v>92.5523564129208</v>
      </c>
      <c r="EO10" s="321">
        <v>112.096748769739</v>
      </c>
      <c r="EP10" s="321">
        <v>112.430260112751</v>
      </c>
      <c r="EQ10" s="321">
        <v>97.70853822387259</v>
      </c>
      <c r="ER10" s="321">
        <v>42.4073804753924</v>
      </c>
      <c r="ES10" s="321">
        <v>11.4770049567115</v>
      </c>
      <c r="ET10" s="321">
        <v>1.30329637768357</v>
      </c>
      <c r="EU10" s="321">
        <f>SUM(DZ10:ET10)</f>
      </c>
      <c r="EV10" s="321">
        <f>EA10*3/5+EB10*3/5</f>
        <v>40.5425436646021</v>
      </c>
      <c r="EW10" s="321">
        <f>EB10*2/5+EC10*1/5</f>
        <v>9.06327841079484</v>
      </c>
      <c r="EX10" s="321">
        <f>SUM(EM10:ET10)</f>
        <v>539.6397836291291</v>
      </c>
      <c r="EY10" s="321">
        <f>SUM(EO10:ET10)</f>
        <v>377.423228916150</v>
      </c>
      <c r="EZ10" s="322">
        <f>EX10/EU10</f>
      </c>
      <c r="FA10" s="322">
        <f>EY10/EU10</f>
      </c>
      <c r="FB10" s="321">
        <f>SUM(ED10:EG10)</f>
        <v>456.237191864040</v>
      </c>
    </row>
    <row r="11" ht="16" customHeight="1">
      <c r="A11" t="s" s="282">
        <f>B11&amp;"_"&amp;IF(C11="男性",1,IF(C11="女性",2,IF(C11="合計",3)))</f>
        <v>294</v>
      </c>
      <c r="B11" s="327">
        <v>2015</v>
      </c>
      <c r="C11" t="s" s="323">
        <v>236</v>
      </c>
      <c r="D11" s="328">
        <v>81</v>
      </c>
      <c r="E11" s="328">
        <v>101</v>
      </c>
      <c r="F11" s="328">
        <v>107</v>
      </c>
      <c r="G11" s="328">
        <v>90</v>
      </c>
      <c r="H11" s="328">
        <v>121</v>
      </c>
      <c r="I11" s="328">
        <v>99</v>
      </c>
      <c r="J11" s="328">
        <v>128</v>
      </c>
      <c r="K11" s="328">
        <v>164</v>
      </c>
      <c r="L11" s="328">
        <v>131</v>
      </c>
      <c r="M11" s="328">
        <v>142</v>
      </c>
      <c r="N11" s="328">
        <v>185</v>
      </c>
      <c r="O11" s="328">
        <v>292</v>
      </c>
      <c r="P11" s="328">
        <v>326</v>
      </c>
      <c r="Q11" s="328">
        <v>382</v>
      </c>
      <c r="R11" s="328">
        <v>299</v>
      </c>
      <c r="S11" s="328">
        <v>320</v>
      </c>
      <c r="T11" s="328">
        <v>292</v>
      </c>
      <c r="U11" s="328">
        <v>178</v>
      </c>
      <c r="V11" s="328">
        <v>72</v>
      </c>
      <c r="W11" s="328">
        <v>9</v>
      </c>
      <c r="X11" s="328">
        <v>2</v>
      </c>
      <c r="Y11" s="328">
        <f>SUM(D11:X11)</f>
        <v>3521</v>
      </c>
      <c r="Z11" s="328">
        <f>E11*3/5+F11*3/5</f>
        <v>124.8</v>
      </c>
      <c r="AA11" s="328">
        <f>F11*2/5+G11*1/5</f>
        <v>60.8</v>
      </c>
      <c r="AB11" s="328">
        <f>SUM(Q11:X11)</f>
        <v>1554</v>
      </c>
      <c r="AC11" s="328">
        <f>SUM(S11:X11)</f>
        <v>873</v>
      </c>
      <c r="AD11" s="329">
        <f>AB11/Y11</f>
        <v>0.441351888667992</v>
      </c>
      <c r="AE11" s="329">
        <f>AC11/Y11</f>
        <v>0.247940925873331</v>
      </c>
      <c r="AF11" s="328">
        <f>SUM(H11:K11)</f>
        <v>512</v>
      </c>
      <c r="AG11" s="130"/>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t="s" s="294">
        <f>BI11&amp;"_"&amp;IF(BJ11="男性",1,IF(BJ11="女性",2,IF(BJ11="合計",3)))</f>
        <v>295</v>
      </c>
      <c r="BI11" s="327">
        <f>BI10</f>
        <v>2035</v>
      </c>
      <c r="BJ11" t="s" s="323">
        <v>236</v>
      </c>
      <c r="BK11" s="328">
        <f>BK9+BK10</f>
      </c>
      <c r="BL11" s="328">
        <f>BL9+BL10</f>
        <v>29.9383421312554</v>
      </c>
      <c r="BM11" s="328">
        <f>BM9+BM10</f>
        <v>39.0315557830481</v>
      </c>
      <c r="BN11" s="328">
        <f>BN9+BN10</f>
        <v>41.5849755587685</v>
      </c>
      <c r="BO11" s="328">
        <f>BO9+BO10</f>
        <v>44.5125503045665</v>
      </c>
      <c r="BP11" s="328">
        <f>BP9+BP10</f>
        <v>35.5933723717471</v>
      </c>
      <c r="BQ11" s="328">
        <f>BQ9+BQ10</f>
        <v>36.0075271870667</v>
      </c>
      <c r="BR11" s="328">
        <f>BR9+BR10</f>
        <v>39.534443159477</v>
      </c>
      <c r="BS11" s="328">
        <f>BS9+BS10</f>
        <v>59.4953250457245</v>
      </c>
      <c r="BT11" s="328">
        <f>BT9+BT10</f>
        <v>70.5986247975073</v>
      </c>
      <c r="BU11" s="328">
        <f>BU9+BU10</f>
        <v>91.31577128278001</v>
      </c>
      <c r="BV11" s="328">
        <f>BV9+BV10</f>
        <v>140.876026966703</v>
      </c>
      <c r="BW11" s="328">
        <f>BW9+BW10</f>
        <v>114.028492137728</v>
      </c>
      <c r="BX11" s="328">
        <f>BX9+BX10</f>
        <v>126.634834316979</v>
      </c>
      <c r="BY11" s="328">
        <f>BY9+BY10</f>
        <v>161.826221434219</v>
      </c>
      <c r="BZ11" s="328">
        <f>BZ9+BZ10</f>
        <v>225.930078750267</v>
      </c>
      <c r="CA11" s="328">
        <f>CA9+CA10</f>
        <v>205.419897718811</v>
      </c>
      <c r="CB11" s="328">
        <f>CB9+CB10</f>
        <v>169.049437578698</v>
      </c>
      <c r="CC11" s="328">
        <f>CC9+CC10</f>
        <v>66.32105826359491</v>
      </c>
      <c r="CD11" s="328">
        <f>CD9+CD10</f>
        <v>17.2675235560266</v>
      </c>
      <c r="CE11" s="328">
        <f>CE9+CE10</f>
        <v>1.39222247046661</v>
      </c>
      <c r="CF11" s="328">
        <f>SUM(BK11:CE11)</f>
      </c>
      <c r="CG11" s="328">
        <f>BL11*3/5+BM11*3/5</f>
        <v>41.3819387485821</v>
      </c>
      <c r="CH11" s="328">
        <f>BM11*2/5+BN11*1/5</f>
        <v>23.9296174249729</v>
      </c>
      <c r="CI11" s="328">
        <f>SUM(BX11:CE11)</f>
        <v>973.841274089062</v>
      </c>
      <c r="CJ11" s="328">
        <f>SUM(BZ11:CE11)</f>
        <v>685.380218337864</v>
      </c>
      <c r="CK11" s="329">
        <f>CI11/CF11</f>
      </c>
      <c r="CL11" s="329">
        <f>CJ11/CF11</f>
      </c>
      <c r="CM11" s="328">
        <f>SUM(BO11:BR11)</f>
        <v>155.647893022857</v>
      </c>
      <c r="CN11" s="130"/>
      <c r="CO11" t="s" s="294">
        <f>CP11&amp;"_"&amp;IF(CQ11="男性",1,IF(CQ11="女性",2,IF(CQ11="合計",3)))</f>
        <v>295</v>
      </c>
      <c r="CP11" s="327">
        <f>CP10</f>
        <v>2035</v>
      </c>
      <c r="CQ11" t="s" s="323">
        <v>236</v>
      </c>
      <c r="CR11" s="328">
        <f>CR9+CR10</f>
        <v>28.7725757635313</v>
      </c>
      <c r="CS11" s="328">
        <f>CS9+CS10</f>
        <v>32.9636259650869</v>
      </c>
      <c r="CT11" s="328">
        <f>CT9+CT10</f>
        <v>42.8541451183019</v>
      </c>
      <c r="CU11" s="328">
        <f>CU9+CU10</f>
        <v>43.2451007535747</v>
      </c>
      <c r="CV11" s="328">
        <f>CV9+CV10</f>
        <v>45.7557370154899</v>
      </c>
      <c r="CW11" s="328">
        <f>CW9+CW10</f>
        <v>39.5933723717471</v>
      </c>
      <c r="CX11" s="328">
        <f>CX9+CX10</f>
        <v>39.5456059812319</v>
      </c>
      <c r="CY11" s="328">
        <f>CY9+CY10</f>
        <v>42.8537017845567</v>
      </c>
      <c r="CZ11" s="328">
        <f>CZ9+CZ10</f>
        <v>60.4953250457245</v>
      </c>
      <c r="DA11" s="328">
        <f>DA9+DA10</f>
        <v>71.5326391718323</v>
      </c>
      <c r="DB11" s="328">
        <f>DB9+DB10</f>
        <v>92.2355719832503</v>
      </c>
      <c r="DC11" s="328">
        <f>DC9+DC10</f>
        <v>140.876026966703</v>
      </c>
      <c r="DD11" s="328">
        <f>DD9+DD10</f>
        <v>114.028492137728</v>
      </c>
      <c r="DE11" s="328">
        <f>DE9+DE10</f>
        <v>126.634834316979</v>
      </c>
      <c r="DF11" s="328">
        <f>DF9+DF10</f>
        <v>161.826221434219</v>
      </c>
      <c r="DG11" s="328">
        <f>DG9+DG10</f>
        <v>225.930078750267</v>
      </c>
      <c r="DH11" s="328">
        <f>DH9+DH10</f>
        <v>205.419897718811</v>
      </c>
      <c r="DI11" s="328">
        <f>DI9+DI10</f>
        <v>169.049437578698</v>
      </c>
      <c r="DJ11" s="328">
        <f>DJ9+DJ10</f>
        <v>66.32105826359491</v>
      </c>
      <c r="DK11" s="328">
        <f>DK9+DK10</f>
        <v>17.2675235560266</v>
      </c>
      <c r="DL11" s="328">
        <f>DL9+DL10</f>
        <v>1.39222247046661</v>
      </c>
      <c r="DM11" s="328">
        <f>SUM(CR11:DL11)</f>
        <v>1768.593194147820</v>
      </c>
      <c r="DN11" s="328">
        <f>CS11*3/5+CT11*3/5</f>
        <v>45.4906626500333</v>
      </c>
      <c r="DO11" s="328">
        <f>CT11*2/5+CU11*1/5</f>
        <v>25.7906781980357</v>
      </c>
      <c r="DP11" s="328">
        <f>SUM(DE11:DL11)</f>
        <v>973.841274089062</v>
      </c>
      <c r="DQ11" s="328">
        <f>SUM(DG11:DL11)</f>
        <v>685.380218337864</v>
      </c>
      <c r="DR11" s="329">
        <f>DP11/DM11</f>
        <v>0.550630454369863</v>
      </c>
      <c r="DS11" s="329">
        <f>DQ11/DM11</f>
        <v>0.387528472124483</v>
      </c>
      <c r="DT11" s="328">
        <f>SUM(CV11:CY11)</f>
        <v>167.748417153026</v>
      </c>
      <c r="DU11" s="130"/>
      <c r="DV11" s="11"/>
      <c r="DW11" s="337"/>
      <c r="DX11" s="327">
        <f>DX10</f>
        <v>2035</v>
      </c>
      <c r="DY11" t="s" s="323">
        <v>236</v>
      </c>
      <c r="DZ11" s="328">
        <f>DZ9+DZ10</f>
      </c>
      <c r="EA11" s="328">
        <f>EA9+EA10</f>
        <v>128.041245417073</v>
      </c>
      <c r="EB11" s="328">
        <f>EB9+EB10</f>
        <v>39.0315557830481</v>
      </c>
      <c r="EC11" s="328">
        <f>EC9+EC10</f>
        <v>41.5849755587685</v>
      </c>
      <c r="ED11" s="328">
        <f>ED9+ED10</f>
        <v>44.5125503045665</v>
      </c>
      <c r="EE11" s="328">
        <f>EE9+EE10</f>
        <v>171.593372371747</v>
      </c>
      <c r="EF11" s="328">
        <f>EF9+EF10</f>
        <v>292.302206188682</v>
      </c>
      <c r="EG11" s="328">
        <f>EG9+EG10</f>
        <v>415.895086147639</v>
      </c>
      <c r="EH11" s="328">
        <f>EH9+EH10</f>
        <v>300.559451399596</v>
      </c>
      <c r="EI11" s="328">
        <f>EI9+EI10</f>
        <v>190.093237081433</v>
      </c>
      <c r="EJ11" s="328">
        <f>EJ9+EJ10</f>
        <v>91.31577128278001</v>
      </c>
      <c r="EK11" s="328">
        <f>EK9+EK10</f>
        <v>140.876026966703</v>
      </c>
      <c r="EL11" s="328">
        <f>EL9+EL10</f>
        <v>114.028492137728</v>
      </c>
      <c r="EM11" s="328">
        <f>EM9+EM10</f>
        <v>126.634834316979</v>
      </c>
      <c r="EN11" s="328">
        <f>EN9+EN10</f>
        <v>161.826221434219</v>
      </c>
      <c r="EO11" s="328">
        <f>EO9+EO10</f>
        <v>225.930078750267</v>
      </c>
      <c r="EP11" s="328">
        <f>EP9+EP10</f>
        <v>205.419897718811</v>
      </c>
      <c r="EQ11" s="328">
        <f>EQ9+EQ10</f>
        <v>169.049437578698</v>
      </c>
      <c r="ER11" s="328">
        <f>ER9+ER10</f>
        <v>66.32105826359491</v>
      </c>
      <c r="ES11" s="328">
        <f>ES9+ES10</f>
        <v>17.2675235560266</v>
      </c>
      <c r="ET11" s="328">
        <f>ET9+ET10</f>
        <v>1.39222247046661</v>
      </c>
      <c r="EU11" s="328">
        <f>SUM(DZ11:ET11)</f>
      </c>
      <c r="EV11" s="328">
        <f>EA11*3/5+EB11*3/5</f>
        <v>100.243680720073</v>
      </c>
      <c r="EW11" s="328">
        <f>EB11*2/5+EC11*1/5</f>
        <v>23.9296174249729</v>
      </c>
      <c r="EX11" s="328">
        <f>SUM(EM11:ET11)</f>
        <v>973.841274089062</v>
      </c>
      <c r="EY11" s="328">
        <f>SUM(EO11:ET11)</f>
        <v>685.380218337864</v>
      </c>
      <c r="EZ11" s="329">
        <f>EX11/EU11</f>
      </c>
      <c r="FA11" s="329">
        <f>EY11/EU11</f>
      </c>
      <c r="FB11" s="328">
        <f>SUM(ED11:EG11)</f>
        <v>924.303215012635</v>
      </c>
    </row>
    <row r="12" ht="16" customHeight="1">
      <c r="A12" t="s" s="282">
        <f>B12&amp;"_"&amp;IF(C12="男性",1,IF(C12="女性",2,IF(C12="合計",3)))</f>
        <v>296</v>
      </c>
      <c r="B12" s="312">
        <v>2020</v>
      </c>
      <c r="C12" t="s" s="313">
        <v>107</v>
      </c>
      <c r="D12" s="314">
        <v>30.2274844720497</v>
      </c>
      <c r="E12" s="314">
        <v>38.0267857142857</v>
      </c>
      <c r="F12" s="314">
        <v>43.093685300207</v>
      </c>
      <c r="G12" s="314">
        <v>41.0267857142857</v>
      </c>
      <c r="H12" s="314">
        <v>49.1427277432712</v>
      </c>
      <c r="I12" s="314">
        <v>40.2096273291925</v>
      </c>
      <c r="J12" s="314">
        <v>33.1427277432712</v>
      </c>
      <c r="K12" s="314">
        <v>54.1873706004141</v>
      </c>
      <c r="L12" s="314">
        <v>76.2854554865424</v>
      </c>
      <c r="M12" s="314">
        <v>70.1026138716356</v>
      </c>
      <c r="N12" s="314">
        <v>63.2765269151139</v>
      </c>
      <c r="O12" s="314">
        <v>81.526268115942</v>
      </c>
      <c r="P12" s="314">
        <v>159.744824016563</v>
      </c>
      <c r="Q12" s="314">
        <v>153.459368530021</v>
      </c>
      <c r="R12" s="314">
        <v>175.281055900621</v>
      </c>
      <c r="S12" s="314">
        <v>119.437111801242</v>
      </c>
      <c r="T12" s="314">
        <v>120.517339544513</v>
      </c>
      <c r="U12" s="314">
        <v>80.26759834368529</v>
      </c>
      <c r="V12" s="314">
        <v>29.0446428571429</v>
      </c>
      <c r="W12" s="314">
        <v>5</v>
      </c>
      <c r="X12" s="314">
        <v>0</v>
      </c>
      <c r="Y12" s="314">
        <f>SUM(D12:X12)</f>
        <v>1463</v>
      </c>
      <c r="Z12" s="314">
        <f>E12*3/5+F12*3/5</f>
        <v>48.6722826086956</v>
      </c>
      <c r="AA12" s="314">
        <f>F12*2/5+G12*1/5</f>
        <v>25.4428312629399</v>
      </c>
      <c r="AB12" s="314">
        <f>SUM(Q12:X12)</f>
        <v>683.007116977225</v>
      </c>
      <c r="AC12" s="314">
        <f>SUM(S12:X12)</f>
        <v>354.266692546583</v>
      </c>
      <c r="AD12" s="315">
        <f>AB12/Y12</f>
        <v>0.466853805179238</v>
      </c>
      <c r="AE12" s="315">
        <f>AC12/Y12</f>
        <v>0.242150849314137</v>
      </c>
      <c r="AF12" s="314">
        <f>SUM(H12:K12)</f>
        <v>176.682453416149</v>
      </c>
      <c r="AG12" s="130"/>
      <c r="AH12" s="11"/>
      <c r="AI12" s="109"/>
      <c r="AJ12" s="109"/>
      <c r="AK12" s="338">
        <v>2020</v>
      </c>
      <c r="AL12" s="339"/>
      <c r="AM12" s="11"/>
      <c r="AN12" s="11"/>
      <c r="AO12" s="11"/>
      <c r="AP12" s="11"/>
      <c r="AQ12" s="11"/>
      <c r="AR12" s="11"/>
      <c r="AS12" s="11"/>
      <c r="AT12" s="11"/>
      <c r="AU12" s="11"/>
      <c r="AV12" s="11"/>
      <c r="AW12" s="11"/>
      <c r="AX12" s="11"/>
      <c r="AY12" s="11"/>
      <c r="AZ12" s="11"/>
      <c r="BA12" s="11"/>
      <c r="BB12" s="11"/>
      <c r="BC12" s="11"/>
      <c r="BD12" s="11"/>
      <c r="BE12" s="11"/>
      <c r="BF12" s="11"/>
      <c r="BG12" s="11"/>
      <c r="BH12" t="s" s="294">
        <f>BI12&amp;"_"&amp;IF(BJ12="男性",1,IF(BJ12="女性",2,IF(BJ12="合計",3)))</f>
        <v>297</v>
      </c>
      <c r="BI12" s="312">
        <v>2040</v>
      </c>
      <c r="BJ12" t="s" s="313">
        <v>107</v>
      </c>
      <c r="BK12" s="314">
        <f>CM13*$AK$13</f>
      </c>
      <c r="BL12" s="314">
        <v>13.9653617903613</v>
      </c>
      <c r="BM12" s="314">
        <v>18.073943190622</v>
      </c>
      <c r="BN12" s="314">
        <v>20.0358448261495</v>
      </c>
      <c r="BO12" s="314">
        <v>22.906254300748</v>
      </c>
      <c r="BP12" s="314">
        <v>12.902112606677</v>
      </c>
      <c r="BQ12" s="314">
        <v>12.7886957309459</v>
      </c>
      <c r="BR12" s="314">
        <v>14.3904732736881</v>
      </c>
      <c r="BS12" s="314">
        <v>17.8603329639288</v>
      </c>
      <c r="BT12" s="314">
        <v>32.0451844499484</v>
      </c>
      <c r="BU12" s="314">
        <v>28.5602584448179</v>
      </c>
      <c r="BV12" s="314">
        <v>46.337058222133</v>
      </c>
      <c r="BW12" s="314">
        <v>70.1058300720172</v>
      </c>
      <c r="BX12" s="314">
        <v>61.3482171916298</v>
      </c>
      <c r="BY12" s="314">
        <v>52.0214673489979</v>
      </c>
      <c r="BZ12" s="314">
        <v>57.5339688606732</v>
      </c>
      <c r="CA12" s="314">
        <v>90.954490191804</v>
      </c>
      <c r="CB12" s="314">
        <v>57.0333046031792</v>
      </c>
      <c r="CC12" s="314">
        <v>29.1472090688162</v>
      </c>
      <c r="CD12" s="314">
        <v>4.58523840453208</v>
      </c>
      <c r="CE12" s="314">
        <v>0.081890299363251</v>
      </c>
      <c r="CF12" s="314">
        <f>SUM(BK12:CE12)</f>
      </c>
      <c r="CG12" s="314">
        <f>BL12*3/5+BM12*3/5</f>
        <v>19.223582988590</v>
      </c>
      <c r="CH12" s="314">
        <f>BM12*2/5+BN12*1/5</f>
        <v>11.2367462414787</v>
      </c>
      <c r="CI12" s="314">
        <f>SUM(BX12:CE12)</f>
        <v>352.705785968996</v>
      </c>
      <c r="CJ12" s="314">
        <f>SUM(BZ12:CE12)</f>
        <v>239.336101428368</v>
      </c>
      <c r="CK12" s="315">
        <f>CI12/CF12</f>
      </c>
      <c r="CL12" s="315">
        <f>CJ12/CF12</f>
      </c>
      <c r="CM12" s="314">
        <f>SUM(BO12:BR12)</f>
        <v>62.987535912059</v>
      </c>
      <c r="CN12" s="130"/>
      <c r="CO12" t="s" s="294">
        <f>CP12&amp;"_"&amp;IF(CQ12="男性",1,IF(CQ12="女性",2,IF(CQ12="合計",3)))</f>
        <v>297</v>
      </c>
      <c r="CP12" s="312">
        <v>2040</v>
      </c>
      <c r="CQ12" t="s" s="313">
        <v>107</v>
      </c>
      <c r="CR12" s="314">
        <v>13.1566996243769</v>
      </c>
      <c r="CS12" s="314">
        <v>16.0036742374442</v>
      </c>
      <c r="CT12" s="314">
        <v>20.789746508174</v>
      </c>
      <c r="CU12" s="314">
        <v>21.7128388463933</v>
      </c>
      <c r="CV12" s="314">
        <v>23.6399163463062</v>
      </c>
      <c r="CW12" s="314">
        <v>15.2322498147769</v>
      </c>
      <c r="CX12" s="314">
        <v>14.5865237324384</v>
      </c>
      <c r="CY12" s="314">
        <v>16.1433838096375</v>
      </c>
      <c r="CZ12" s="314">
        <v>19.4756652213601</v>
      </c>
      <c r="DA12" s="314">
        <v>32.0451844499484</v>
      </c>
      <c r="DB12" s="314">
        <v>28.5602584448179</v>
      </c>
      <c r="DC12" s="314">
        <v>46.337058222133</v>
      </c>
      <c r="DD12" s="314">
        <v>70.1058300720172</v>
      </c>
      <c r="DE12" s="314">
        <v>61.3482171916298</v>
      </c>
      <c r="DF12" s="314">
        <v>52.0214673489979</v>
      </c>
      <c r="DG12" s="314">
        <v>57.5339688606732</v>
      </c>
      <c r="DH12" s="314">
        <v>90.954490191804</v>
      </c>
      <c r="DI12" s="314">
        <v>57.0333046031792</v>
      </c>
      <c r="DJ12" s="314">
        <v>29.1472090688162</v>
      </c>
      <c r="DK12" s="314">
        <v>4.58523840453208</v>
      </c>
      <c r="DL12" s="314">
        <v>0.081890299363251</v>
      </c>
      <c r="DM12" s="314">
        <f>SUM(CR12:DL12)</f>
        <v>690.494815298820</v>
      </c>
      <c r="DN12" s="314">
        <f>CS12*3/5+CT12*3/5</f>
        <v>22.0760524473709</v>
      </c>
      <c r="DO12" s="314">
        <f>CT12*2/5+CU12*1/5</f>
        <v>12.6584663725483</v>
      </c>
      <c r="DP12" s="314">
        <f>SUM(DE12:DL12)</f>
        <v>352.705785968996</v>
      </c>
      <c r="DQ12" s="314">
        <f>SUM(DG12:DL12)</f>
        <v>239.336101428368</v>
      </c>
      <c r="DR12" s="315">
        <f>DP12/DM12</f>
        <v>0.510801497932115</v>
      </c>
      <c r="DS12" s="315">
        <f>DQ12/DM12</f>
        <v>0.3466153490592</v>
      </c>
      <c r="DT12" s="314">
        <f>SUM(CV12:CY12)</f>
        <v>69.60207370315899</v>
      </c>
      <c r="DU12" s="130"/>
      <c r="DV12" s="340"/>
      <c r="DW12" s="288"/>
      <c r="DX12" s="312">
        <v>2040</v>
      </c>
      <c r="DY12" t="s" s="313">
        <v>107</v>
      </c>
      <c r="DZ12" s="314">
        <f>FB13*$AK$13</f>
      </c>
      <c r="EA12" s="314">
        <v>81.0542635626112</v>
      </c>
      <c r="EB12" s="314">
        <v>77.2992100089822</v>
      </c>
      <c r="EC12" s="314">
        <v>20.0358448261495</v>
      </c>
      <c r="ED12" s="314">
        <v>22.906254300748</v>
      </c>
      <c r="EE12" s="314">
        <v>80.90211260667699</v>
      </c>
      <c r="EF12" s="314">
        <v>141.914847781692</v>
      </c>
      <c r="EG12" s="314">
        <v>208.290499421044</v>
      </c>
      <c r="EH12" s="314">
        <v>196.541994423025</v>
      </c>
      <c r="EI12" s="314">
        <v>154.163959143165</v>
      </c>
      <c r="EJ12" s="314">
        <v>88.6598036454964</v>
      </c>
      <c r="EK12" s="314">
        <v>46.337058222133</v>
      </c>
      <c r="EL12" s="314">
        <v>70.1058300720172</v>
      </c>
      <c r="EM12" s="314">
        <v>61.3482171916298</v>
      </c>
      <c r="EN12" s="314">
        <v>52.0214673489979</v>
      </c>
      <c r="EO12" s="314">
        <v>57.5339688606732</v>
      </c>
      <c r="EP12" s="314">
        <v>90.954490191804</v>
      </c>
      <c r="EQ12" s="314">
        <v>57.0333046031792</v>
      </c>
      <c r="ER12" s="314">
        <v>29.1472090688162</v>
      </c>
      <c r="ES12" s="314">
        <v>4.58523840453208</v>
      </c>
      <c r="ET12" s="314">
        <v>0.081890299363251</v>
      </c>
      <c r="EU12" s="314">
        <f>SUM(DZ12:ET12)</f>
      </c>
      <c r="EV12" s="314">
        <f>EA12*3/5+EB12*3/5</f>
        <v>95.012084142956</v>
      </c>
      <c r="EW12" s="314">
        <f>EB12*2/5+EC12*1/5</f>
        <v>34.9268529688228</v>
      </c>
      <c r="EX12" s="314">
        <f>SUM(EM12:ET12)</f>
        <v>352.705785968996</v>
      </c>
      <c r="EY12" s="314">
        <f>SUM(EO12:ET12)</f>
        <v>239.336101428368</v>
      </c>
      <c r="EZ12" s="315">
        <f>EX12/EU12</f>
      </c>
      <c r="FA12" s="315">
        <f>EY12/EU12</f>
      </c>
      <c r="FB12" s="314">
        <f>SUM(ED12:EG12)</f>
        <v>454.013714110161</v>
      </c>
    </row>
    <row r="13" ht="16" customHeight="1">
      <c r="A13" t="s" s="282">
        <f>B13&amp;"_"&amp;IF(C13="男性",1,IF(C13="女性",2,IF(C13="合計",3)))</f>
        <v>298</v>
      </c>
      <c r="B13" s="319">
        <v>2020</v>
      </c>
      <c r="C13" t="s" s="320">
        <v>108</v>
      </c>
      <c r="D13" s="321">
        <v>24</v>
      </c>
      <c r="E13" s="321">
        <v>35</v>
      </c>
      <c r="F13" s="321">
        <v>44</v>
      </c>
      <c r="G13" s="321">
        <v>42</v>
      </c>
      <c r="H13" s="321">
        <v>27</v>
      </c>
      <c r="I13" s="321">
        <v>38</v>
      </c>
      <c r="J13" s="321">
        <v>54</v>
      </c>
      <c r="K13" s="321">
        <v>52</v>
      </c>
      <c r="L13" s="321">
        <v>76</v>
      </c>
      <c r="M13" s="321">
        <v>50</v>
      </c>
      <c r="N13" s="321">
        <v>72</v>
      </c>
      <c r="O13" s="321">
        <v>101</v>
      </c>
      <c r="P13" s="321">
        <v>133</v>
      </c>
      <c r="Q13" s="321">
        <v>160</v>
      </c>
      <c r="R13" s="321">
        <v>184</v>
      </c>
      <c r="S13" s="321">
        <v>148</v>
      </c>
      <c r="T13" s="321">
        <v>150</v>
      </c>
      <c r="U13" s="321">
        <v>121</v>
      </c>
      <c r="V13" s="321">
        <v>55</v>
      </c>
      <c r="W13" s="321">
        <v>16</v>
      </c>
      <c r="X13" s="321">
        <v>1</v>
      </c>
      <c r="Y13" s="321">
        <f>SUM(D13:X13)</f>
        <v>1583</v>
      </c>
      <c r="Z13" s="321">
        <f>E13*3/5+F13*3/5</f>
        <v>47.4</v>
      </c>
      <c r="AA13" s="321">
        <f>F13*2/5+G13*1/5</f>
        <v>26</v>
      </c>
      <c r="AB13" s="321">
        <f>SUM(Q13:X13)</f>
        <v>835</v>
      </c>
      <c r="AC13" s="321">
        <f>SUM(S13:X13)</f>
        <v>491</v>
      </c>
      <c r="AD13" s="322">
        <f>AB13/Y13</f>
        <v>0.527479469361971</v>
      </c>
      <c r="AE13" s="322">
        <f>AC13/Y13</f>
        <v>0.310170562223626</v>
      </c>
      <c r="AF13" s="321">
        <f>SUM(H13:K13)</f>
        <v>171</v>
      </c>
      <c r="AG13" s="130"/>
      <c r="AH13" s="288"/>
      <c r="AI13" t="s" s="341">
        <v>299</v>
      </c>
      <c r="AJ13" t="s" s="342">
        <v>107</v>
      </c>
      <c r="AK13" s="343">
        <f>VLOOKUP(AK12&amp;"_1",A1:D35,4,FALSE)/VLOOKUP(AK12&amp;"_2",A1:AF35,32,FALSE)</f>
      </c>
      <c r="AL13" s="130"/>
      <c r="AM13" s="11"/>
      <c r="AN13" s="11"/>
      <c r="AO13" s="11"/>
      <c r="AP13" s="11"/>
      <c r="AQ13" s="11"/>
      <c r="AR13" s="11"/>
      <c r="AS13" s="11"/>
      <c r="AT13" s="11"/>
      <c r="AU13" s="11"/>
      <c r="AV13" s="11"/>
      <c r="AW13" s="11"/>
      <c r="AX13" s="11"/>
      <c r="AY13" s="11"/>
      <c r="AZ13" s="11"/>
      <c r="BA13" s="11"/>
      <c r="BB13" s="11"/>
      <c r="BC13" s="11"/>
      <c r="BD13" s="11"/>
      <c r="BE13" s="11"/>
      <c r="BF13" s="11"/>
      <c r="BG13" s="11"/>
      <c r="BH13" t="s" s="294">
        <f>BI13&amp;"_"&amp;IF(BJ13="男性",1,IF(BJ13="女性",2,IF(BJ13="合計",3)))</f>
        <v>300</v>
      </c>
      <c r="BI13" s="319">
        <f>BI12</f>
        <v>2040</v>
      </c>
      <c r="BJ13" t="s" s="320">
        <v>108</v>
      </c>
      <c r="BK13" s="321">
        <f>CM13*$AK$14</f>
      </c>
      <c r="BL13" s="321">
        <v>9.808720506916121</v>
      </c>
      <c r="BM13" s="321">
        <v>10.9714835496524</v>
      </c>
      <c r="BN13" s="321">
        <v>12.3137941889291</v>
      </c>
      <c r="BO13" s="321">
        <v>9.656854353081849</v>
      </c>
      <c r="BP13" s="321">
        <v>15.0965826388682</v>
      </c>
      <c r="BQ13" s="321">
        <v>18.5915720616665</v>
      </c>
      <c r="BR13" s="321">
        <v>19.1249688341393</v>
      </c>
      <c r="BS13" s="321">
        <v>18.2966585328055</v>
      </c>
      <c r="BT13" s="321">
        <v>25.2364809026347</v>
      </c>
      <c r="BU13" s="321">
        <v>40.5879661266702</v>
      </c>
      <c r="BV13" s="321">
        <v>43.5367961432351</v>
      </c>
      <c r="BW13" s="321">
        <v>69.1943242849286</v>
      </c>
      <c r="BX13" s="321">
        <v>47.6417084947059</v>
      </c>
      <c r="BY13" s="321">
        <v>66.1492063199661</v>
      </c>
      <c r="BZ13" s="321">
        <v>84.0426734552026</v>
      </c>
      <c r="CA13" s="321">
        <v>91.3542752553001</v>
      </c>
      <c r="CB13" s="321">
        <v>80.67698688118389</v>
      </c>
      <c r="CC13" s="321">
        <v>47.8751263304596</v>
      </c>
      <c r="CD13" s="321">
        <v>9.22858008827022</v>
      </c>
      <c r="CE13" s="321">
        <v>1.15935257608605</v>
      </c>
      <c r="CF13" s="321">
        <f>SUM(BK13:CE13)</f>
      </c>
      <c r="CG13" s="321">
        <f>BL13*3/5+BM13*3/5</f>
        <v>12.4681224339411</v>
      </c>
      <c r="CH13" s="321">
        <f>BM13*2/5+BN13*1/5</f>
        <v>6.85135225764678</v>
      </c>
      <c r="CI13" s="321">
        <f>SUM(BX13:CE13)</f>
        <v>428.127909401174</v>
      </c>
      <c r="CJ13" s="321">
        <f>SUM(BZ13:CE13)</f>
        <v>314.336994586502</v>
      </c>
      <c r="CK13" s="322">
        <f>CI13/CF13</f>
      </c>
      <c r="CL13" s="322">
        <f>CJ13/CF13</f>
      </c>
      <c r="CM13" s="321">
        <f>SUM(BO13:BR13)</f>
        <v>62.4699778877559</v>
      </c>
      <c r="CN13" s="130"/>
      <c r="CO13" t="s" s="294">
        <f>CP13&amp;"_"&amp;IF(CQ13="男性",1,IF(CQ13="女性",2,IF(CQ13="合計",3)))</f>
        <v>300</v>
      </c>
      <c r="CP13" s="319">
        <f>CP12</f>
        <v>2040</v>
      </c>
      <c r="CQ13" t="s" s="320">
        <v>108</v>
      </c>
      <c r="CR13" s="321">
        <v>10.6521690799255</v>
      </c>
      <c r="CS13" s="321">
        <v>11.4235152643535</v>
      </c>
      <c r="CT13" s="321">
        <v>13.1757265029641</v>
      </c>
      <c r="CU13" s="321">
        <v>13.8085401450274</v>
      </c>
      <c r="CV13" s="321">
        <v>10.1663790184469</v>
      </c>
      <c r="CW13" s="321">
        <v>17.5821858984137</v>
      </c>
      <c r="CX13" s="321">
        <v>20.3318228543391</v>
      </c>
      <c r="CY13" s="321">
        <v>20.6913169232696</v>
      </c>
      <c r="CZ13" s="321">
        <v>20.7187306908927</v>
      </c>
      <c r="DA13" s="321">
        <v>26.1704952769597</v>
      </c>
      <c r="DB13" s="321">
        <v>41.5077668271405</v>
      </c>
      <c r="DC13" s="321">
        <v>44.4589847885699</v>
      </c>
      <c r="DD13" s="321">
        <v>69.1943242849286</v>
      </c>
      <c r="DE13" s="321">
        <v>47.6417084947059</v>
      </c>
      <c r="DF13" s="321">
        <v>66.1492063199661</v>
      </c>
      <c r="DG13" s="321">
        <v>84.0426734552026</v>
      </c>
      <c r="DH13" s="321">
        <v>91.3542752553001</v>
      </c>
      <c r="DI13" s="321">
        <v>80.67698688118389</v>
      </c>
      <c r="DJ13" s="321">
        <v>47.8751263304596</v>
      </c>
      <c r="DK13" s="321">
        <v>9.22858008827022</v>
      </c>
      <c r="DL13" s="321">
        <v>1.15935257608605</v>
      </c>
      <c r="DM13" s="321">
        <f>SUM(CR13:DL13)</f>
        <v>748.009866956406</v>
      </c>
      <c r="DN13" s="321">
        <f>CS13*3/5+CT13*3/5</f>
        <v>14.7595450603906</v>
      </c>
      <c r="DO13" s="321">
        <f>CT13*2/5+CU13*1/5</f>
        <v>8.03199863019112</v>
      </c>
      <c r="DP13" s="321">
        <f>SUM(DE13:DL13)</f>
        <v>428.127909401174</v>
      </c>
      <c r="DQ13" s="321">
        <f>SUM(DG13:DL13)</f>
        <v>314.336994586502</v>
      </c>
      <c r="DR13" s="322">
        <f>DP13/DM13</f>
        <v>0.572355965227027</v>
      </c>
      <c r="DS13" s="322">
        <f>DQ13/DM13</f>
        <v>0.420231080460897</v>
      </c>
      <c r="DT13" s="321">
        <f>SUM(CV13:CY13)</f>
        <v>68.77170469446931</v>
      </c>
      <c r="DU13" s="130"/>
      <c r="DV13" s="339"/>
      <c r="DW13" s="288"/>
      <c r="DX13" s="319">
        <f>DX12</f>
        <v>2040</v>
      </c>
      <c r="DY13" t="s" s="320">
        <v>108</v>
      </c>
      <c r="DZ13" s="321">
        <f>FB13*$AK$14</f>
      </c>
      <c r="EA13" s="321">
        <v>56.9293247904462</v>
      </c>
      <c r="EB13" s="321">
        <v>46.9231867152664</v>
      </c>
      <c r="EC13" s="321">
        <v>12.3137941889291</v>
      </c>
      <c r="ED13" s="321">
        <v>9.656854353081849</v>
      </c>
      <c r="EE13" s="321">
        <v>83.0965826388682</v>
      </c>
      <c r="EF13" s="321">
        <v>145.760099012536</v>
      </c>
      <c r="EG13" s="321">
        <v>201.585585674946</v>
      </c>
      <c r="EH13" s="321">
        <v>183.950873555210</v>
      </c>
      <c r="EI13" s="321">
        <v>134.799880443733</v>
      </c>
      <c r="EJ13" s="321">
        <v>97.3732760982767</v>
      </c>
      <c r="EK13" s="321">
        <v>43.5367961432351</v>
      </c>
      <c r="EL13" s="321">
        <v>69.1943242849286</v>
      </c>
      <c r="EM13" s="321">
        <v>47.6417084947059</v>
      </c>
      <c r="EN13" s="321">
        <v>66.1492063199661</v>
      </c>
      <c r="EO13" s="321">
        <v>84.0426734552026</v>
      </c>
      <c r="EP13" s="321">
        <v>91.3542752553001</v>
      </c>
      <c r="EQ13" s="321">
        <v>80.67698688118389</v>
      </c>
      <c r="ER13" s="321">
        <v>47.8751263304596</v>
      </c>
      <c r="ES13" s="321">
        <v>9.22858008827022</v>
      </c>
      <c r="ET13" s="321">
        <v>1.15935257608605</v>
      </c>
      <c r="EU13" s="321">
        <f>SUM(DZ13:ET13)</f>
      </c>
      <c r="EV13" s="321">
        <f>EA13*3/5+EB13*3/5</f>
        <v>62.3115069034276</v>
      </c>
      <c r="EW13" s="321">
        <f>EB13*2/5+EC13*1/5</f>
        <v>21.2320335238924</v>
      </c>
      <c r="EX13" s="321">
        <f>SUM(EM13:ET13)</f>
        <v>428.127909401174</v>
      </c>
      <c r="EY13" s="321">
        <f>SUM(EO13:ET13)</f>
        <v>314.336994586502</v>
      </c>
      <c r="EZ13" s="322">
        <f>EX13/EU13</f>
      </c>
      <c r="FA13" s="322">
        <f>EY13/EU13</f>
      </c>
      <c r="FB13" s="321">
        <f>SUM(ED13:EG13)</f>
        <v>440.099121679432</v>
      </c>
    </row>
    <row r="14" ht="16" customHeight="1">
      <c r="A14" t="s" s="282">
        <f>B14&amp;"_"&amp;IF(C14="男性",1,IF(C14="女性",2,IF(C14="合計",3)))</f>
        <v>301</v>
      </c>
      <c r="B14" s="327">
        <v>2020</v>
      </c>
      <c r="C14" t="s" s="323">
        <v>236</v>
      </c>
      <c r="D14" s="328">
        <v>54.2274844720497</v>
      </c>
      <c r="E14" s="328">
        <v>73.02678571428569</v>
      </c>
      <c r="F14" s="328">
        <v>87.093685300207</v>
      </c>
      <c r="G14" s="328">
        <v>83.02678571428569</v>
      </c>
      <c r="H14" s="328">
        <v>76.14272774327119</v>
      </c>
      <c r="I14" s="328">
        <v>78.2096273291925</v>
      </c>
      <c r="J14" s="328">
        <v>87.14272774327119</v>
      </c>
      <c r="K14" s="328">
        <v>106.187370600414</v>
      </c>
      <c r="L14" s="328">
        <v>152.285455486542</v>
      </c>
      <c r="M14" s="328">
        <v>120.102613871636</v>
      </c>
      <c r="N14" s="328">
        <v>135.276526915114</v>
      </c>
      <c r="O14" s="328">
        <v>182.526268115942</v>
      </c>
      <c r="P14" s="328">
        <v>292.744824016563</v>
      </c>
      <c r="Q14" s="328">
        <v>313.459368530021</v>
      </c>
      <c r="R14" s="328">
        <v>359.281055900621</v>
      </c>
      <c r="S14" s="328">
        <v>267.437111801242</v>
      </c>
      <c r="T14" s="328">
        <v>270.517339544513</v>
      </c>
      <c r="U14" s="328">
        <v>201.267598343685</v>
      </c>
      <c r="V14" s="328">
        <v>84.0446428571429</v>
      </c>
      <c r="W14" s="328">
        <v>21</v>
      </c>
      <c r="X14" s="328">
        <v>1</v>
      </c>
      <c r="Y14" s="328">
        <f>SUM(D14:X14)</f>
        <v>3046</v>
      </c>
      <c r="Z14" s="328">
        <f>E14*3/5+F14*3/5</f>
        <v>96.0722826086956</v>
      </c>
      <c r="AA14" s="328">
        <f>F14*2/5+G14*1/5</f>
        <v>51.4428312629399</v>
      </c>
      <c r="AB14" s="328">
        <f>SUM(Q14:X14)</f>
        <v>1518.007116977220</v>
      </c>
      <c r="AC14" s="328">
        <f>SUM(S14:X14)</f>
        <v>845.266692546583</v>
      </c>
      <c r="AD14" s="329">
        <f>AB14/Y14</f>
        <v>0.49836083945411</v>
      </c>
      <c r="AE14" s="329">
        <f>AC14/Y14</f>
        <v>0.277500555662043</v>
      </c>
      <c r="AF14" s="328">
        <f>SUM(H14:K14)</f>
        <v>347.682453416149</v>
      </c>
      <c r="AG14" s="130"/>
      <c r="AH14" s="288"/>
      <c r="AI14" s="289"/>
      <c r="AJ14" t="s" s="342">
        <v>108</v>
      </c>
      <c r="AK14" s="343">
        <f>VLOOKUP(AK12&amp;"_2",A1:D35,4,FALSE)/VLOOKUP(AK12&amp;"_2",A1:AF35,32,FALSE)</f>
      </c>
      <c r="AL14" s="130"/>
      <c r="AM14" s="11"/>
      <c r="AN14" s="11"/>
      <c r="AO14" s="11"/>
      <c r="AP14" s="11"/>
      <c r="AQ14" s="11"/>
      <c r="AR14" s="11"/>
      <c r="AS14" s="11"/>
      <c r="AT14" s="11"/>
      <c r="AU14" s="11"/>
      <c r="AV14" s="11"/>
      <c r="AW14" s="11"/>
      <c r="AX14" s="11"/>
      <c r="AY14" s="11"/>
      <c r="AZ14" s="11"/>
      <c r="BA14" s="11"/>
      <c r="BB14" s="11"/>
      <c r="BC14" s="11"/>
      <c r="BD14" s="11"/>
      <c r="BE14" s="11"/>
      <c r="BF14" s="11"/>
      <c r="BG14" s="11"/>
      <c r="BH14" t="s" s="294">
        <f>BI14&amp;"_"&amp;IF(BJ14="男性",1,IF(BJ14="女性",2,IF(BJ14="合計",3)))</f>
        <v>302</v>
      </c>
      <c r="BI14" s="327">
        <f>BI13</f>
        <v>2040</v>
      </c>
      <c r="BJ14" t="s" s="323">
        <v>236</v>
      </c>
      <c r="BK14" s="328">
        <f>BK12+BK13</f>
      </c>
      <c r="BL14" s="328">
        <f>BL12+BL13</f>
        <v>23.7740822972774</v>
      </c>
      <c r="BM14" s="328">
        <f>BM12+BM13</f>
        <v>29.0454267402744</v>
      </c>
      <c r="BN14" s="328">
        <f>BN12+BN13</f>
        <v>32.3496390150786</v>
      </c>
      <c r="BO14" s="328">
        <f>BO12+BO13</f>
        <v>32.5631086538299</v>
      </c>
      <c r="BP14" s="328">
        <f>BP12+BP13</f>
        <v>27.9986952455452</v>
      </c>
      <c r="BQ14" s="328">
        <f>BQ12+BQ13</f>
        <v>31.3802677926124</v>
      </c>
      <c r="BR14" s="328">
        <f>BR12+BR13</f>
        <v>33.5154421078274</v>
      </c>
      <c r="BS14" s="328">
        <f>BS12+BS13</f>
        <v>36.1569914967343</v>
      </c>
      <c r="BT14" s="328">
        <f>BT12+BT13</f>
        <v>57.2816653525831</v>
      </c>
      <c r="BU14" s="328">
        <f>BU12+BU13</f>
        <v>69.1482245714881</v>
      </c>
      <c r="BV14" s="328">
        <f>BV12+BV13</f>
        <v>89.8738543653681</v>
      </c>
      <c r="BW14" s="328">
        <f>BW12+BW13</f>
        <v>139.300154356946</v>
      </c>
      <c r="BX14" s="328">
        <f>BX12+BX13</f>
        <v>108.989925686336</v>
      </c>
      <c r="BY14" s="328">
        <f>BY12+BY13</f>
        <v>118.170673668964</v>
      </c>
      <c r="BZ14" s="328">
        <f>BZ12+BZ13</f>
        <v>141.576642315876</v>
      </c>
      <c r="CA14" s="328">
        <f>CA12+CA13</f>
        <v>182.308765447104</v>
      </c>
      <c r="CB14" s="328">
        <f>CB12+CB13</f>
        <v>137.710291484363</v>
      </c>
      <c r="CC14" s="328">
        <f>CC12+CC13</f>
        <v>77.0223353992758</v>
      </c>
      <c r="CD14" s="328">
        <f>CD12+CD13</f>
        <v>13.8138184928023</v>
      </c>
      <c r="CE14" s="328">
        <f>CE12+CE13</f>
        <v>1.2412428754493</v>
      </c>
      <c r="CF14" s="328">
        <f>SUM(BK14:CE14)</f>
      </c>
      <c r="CG14" s="328">
        <f>BL14*3/5+BM14*3/5</f>
        <v>31.6917054225311</v>
      </c>
      <c r="CH14" s="328">
        <f>BM14*2/5+BN14*1/5</f>
        <v>18.0880984991255</v>
      </c>
      <c r="CI14" s="328">
        <f>SUM(BX14:CE14)</f>
        <v>780.8336953701699</v>
      </c>
      <c r="CJ14" s="328">
        <f>SUM(BZ14:CE14)</f>
        <v>553.673096014870</v>
      </c>
      <c r="CK14" s="329">
        <f>CI14/CF14</f>
      </c>
      <c r="CL14" s="329">
        <f>CJ14/CF14</f>
      </c>
      <c r="CM14" s="328">
        <f>SUM(BO14:BR14)</f>
        <v>125.457513799815</v>
      </c>
      <c r="CN14" s="130"/>
      <c r="CO14" t="s" s="294">
        <f>CP14&amp;"_"&amp;IF(CQ14="男性",1,IF(CQ14="女性",2,IF(CQ14="合計",3)))</f>
        <v>302</v>
      </c>
      <c r="CP14" s="327">
        <f>CP13</f>
        <v>2040</v>
      </c>
      <c r="CQ14" t="s" s="323">
        <v>236</v>
      </c>
      <c r="CR14" s="328">
        <f>CR12+CR13</f>
        <v>23.8088687043024</v>
      </c>
      <c r="CS14" s="328">
        <f>CS12+CS13</f>
        <v>27.4271895017977</v>
      </c>
      <c r="CT14" s="328">
        <f>CT12+CT13</f>
        <v>33.9654730111381</v>
      </c>
      <c r="CU14" s="328">
        <f>CU12+CU13</f>
        <v>35.5213789914207</v>
      </c>
      <c r="CV14" s="328">
        <f>CV12+CV13</f>
        <v>33.8062953647531</v>
      </c>
      <c r="CW14" s="328">
        <f>CW12+CW13</f>
        <v>32.8144357131906</v>
      </c>
      <c r="CX14" s="328">
        <f>CX12+CX13</f>
        <v>34.9183465867775</v>
      </c>
      <c r="CY14" s="328">
        <f>CY12+CY13</f>
        <v>36.8347007329071</v>
      </c>
      <c r="CZ14" s="328">
        <f>CZ12+CZ13</f>
        <v>40.1943959122528</v>
      </c>
      <c r="DA14" s="328">
        <f>DA12+DA13</f>
        <v>58.2156797269081</v>
      </c>
      <c r="DB14" s="328">
        <f>DB12+DB13</f>
        <v>70.0680252719584</v>
      </c>
      <c r="DC14" s="328">
        <f>DC12+DC13</f>
        <v>90.7960430107029</v>
      </c>
      <c r="DD14" s="328">
        <f>DD12+DD13</f>
        <v>139.300154356946</v>
      </c>
      <c r="DE14" s="328">
        <f>DE12+DE13</f>
        <v>108.989925686336</v>
      </c>
      <c r="DF14" s="328">
        <f>DF12+DF13</f>
        <v>118.170673668964</v>
      </c>
      <c r="DG14" s="328">
        <f>DG12+DG13</f>
        <v>141.576642315876</v>
      </c>
      <c r="DH14" s="328">
        <f>DH12+DH13</f>
        <v>182.308765447104</v>
      </c>
      <c r="DI14" s="328">
        <f>DI12+DI13</f>
        <v>137.710291484363</v>
      </c>
      <c r="DJ14" s="328">
        <f>DJ12+DJ13</f>
        <v>77.0223353992758</v>
      </c>
      <c r="DK14" s="328">
        <f>DK12+DK13</f>
        <v>13.8138184928023</v>
      </c>
      <c r="DL14" s="328">
        <f>DL12+DL13</f>
        <v>1.2412428754493</v>
      </c>
      <c r="DM14" s="328">
        <f>SUM(CR14:DL14)</f>
        <v>1438.504682255230</v>
      </c>
      <c r="DN14" s="328">
        <f>CS14*3/5+CT14*3/5</f>
        <v>36.8355975077615</v>
      </c>
      <c r="DO14" s="328">
        <f>CT14*2/5+CU14*1/5</f>
        <v>20.6904650027394</v>
      </c>
      <c r="DP14" s="328">
        <f>SUM(DE14:DL14)</f>
        <v>780.8336953701699</v>
      </c>
      <c r="DQ14" s="328">
        <f>SUM(DG14:DL14)</f>
        <v>553.673096014870</v>
      </c>
      <c r="DR14" s="329">
        <f>DP14/DM14</f>
        <v>0.5428092831411639</v>
      </c>
      <c r="DS14" s="329">
        <f>DQ14/DM14</f>
        <v>0.38489488622786</v>
      </c>
      <c r="DT14" s="328">
        <f>SUM(CV14:CY14)</f>
        <v>138.373778397628</v>
      </c>
      <c r="DU14" s="130"/>
      <c r="DV14" s="11"/>
      <c r="DW14" s="288"/>
      <c r="DX14" s="327">
        <f>DX13</f>
        <v>2040</v>
      </c>
      <c r="DY14" t="s" s="323">
        <v>236</v>
      </c>
      <c r="DZ14" s="328">
        <f>DZ12+DZ13</f>
      </c>
      <c r="EA14" s="328">
        <f>EA12+EA13</f>
        <v>137.983588353057</v>
      </c>
      <c r="EB14" s="328">
        <f>EB12+EB13</f>
        <v>124.222396724249</v>
      </c>
      <c r="EC14" s="328">
        <f>EC12+EC13</f>
        <v>32.3496390150786</v>
      </c>
      <c r="ED14" s="328">
        <f>ED12+ED13</f>
        <v>32.5631086538299</v>
      </c>
      <c r="EE14" s="328">
        <f>EE12+EE13</f>
        <v>163.998695245545</v>
      </c>
      <c r="EF14" s="328">
        <f>EF12+EF13</f>
        <v>287.674946794228</v>
      </c>
      <c r="EG14" s="328">
        <f>EG12+EG13</f>
        <v>409.876085095990</v>
      </c>
      <c r="EH14" s="328">
        <f>EH12+EH13</f>
        <v>380.492867978235</v>
      </c>
      <c r="EI14" s="328">
        <f>EI12+EI13</f>
        <v>288.963839586898</v>
      </c>
      <c r="EJ14" s="328">
        <f>EJ12+EJ13</f>
        <v>186.033079743773</v>
      </c>
      <c r="EK14" s="328">
        <f>EK12+EK13</f>
        <v>89.8738543653681</v>
      </c>
      <c r="EL14" s="328">
        <f>EL12+EL13</f>
        <v>139.300154356946</v>
      </c>
      <c r="EM14" s="328">
        <f>EM12+EM13</f>
        <v>108.989925686336</v>
      </c>
      <c r="EN14" s="328">
        <f>EN12+EN13</f>
        <v>118.170673668964</v>
      </c>
      <c r="EO14" s="328">
        <f>EO12+EO13</f>
        <v>141.576642315876</v>
      </c>
      <c r="EP14" s="328">
        <f>EP12+EP13</f>
        <v>182.308765447104</v>
      </c>
      <c r="EQ14" s="328">
        <f>EQ12+EQ13</f>
        <v>137.710291484363</v>
      </c>
      <c r="ER14" s="328">
        <f>ER12+ER13</f>
        <v>77.0223353992758</v>
      </c>
      <c r="ES14" s="328">
        <f>ES12+ES13</f>
        <v>13.8138184928023</v>
      </c>
      <c r="ET14" s="328">
        <f>ET12+ET13</f>
        <v>1.2412428754493</v>
      </c>
      <c r="EU14" s="328">
        <f>SUM(DZ14:ET14)</f>
      </c>
      <c r="EV14" s="328">
        <f>EA14*3/5+EB14*3/5</f>
        <v>157.323591046384</v>
      </c>
      <c r="EW14" s="328">
        <f>EB14*2/5+EC14*1/5</f>
        <v>56.1588864927153</v>
      </c>
      <c r="EX14" s="328">
        <f>SUM(EM14:ET14)</f>
        <v>780.8336953701699</v>
      </c>
      <c r="EY14" s="328">
        <f>SUM(EO14:ET14)</f>
        <v>553.673096014870</v>
      </c>
      <c r="EZ14" s="329">
        <f>EX14/EU14</f>
      </c>
      <c r="FA14" s="329">
        <f>EY14/EU14</f>
      </c>
      <c r="FB14" s="328">
        <f>SUM(ED14:EG14)</f>
        <v>894.112835789593</v>
      </c>
    </row>
    <row r="15" ht="16" customHeight="1">
      <c r="A15" t="s" s="282">
        <f>B15&amp;"_"&amp;IF(C15="男性",1,IF(C15="女性",2,IF(C15="合計",3)))</f>
        <v>273</v>
      </c>
      <c r="B15" s="312">
        <v>2025</v>
      </c>
      <c r="C15" t="s" s="313">
        <v>107</v>
      </c>
      <c r="D15" s="344"/>
      <c r="E15" s="344"/>
      <c r="F15" s="344"/>
      <c r="G15" s="344"/>
      <c r="H15" s="344"/>
      <c r="I15" s="344"/>
      <c r="J15" s="344"/>
      <c r="K15" s="344"/>
      <c r="L15" s="344"/>
      <c r="M15" s="344"/>
      <c r="N15" s="344"/>
      <c r="O15" s="344"/>
      <c r="P15" s="344"/>
      <c r="Q15" s="344"/>
      <c r="R15" s="344"/>
      <c r="S15" s="344"/>
      <c r="T15" s="344"/>
      <c r="U15" s="344"/>
      <c r="V15" s="344"/>
      <c r="W15" s="344"/>
      <c r="X15" s="344"/>
      <c r="Y15" s="314">
        <f>SUM(D15:X15)</f>
        <v>0</v>
      </c>
      <c r="Z15" s="314">
        <f>E15*3/5+F15*3/5</f>
        <v>0</v>
      </c>
      <c r="AA15" s="314">
        <f>F15*2/5+G15*1/5</f>
        <v>0</v>
      </c>
      <c r="AB15" s="314">
        <f>SUM(Q15:X15)</f>
        <v>0</v>
      </c>
      <c r="AC15" s="314">
        <f>SUM(S15:X15)</f>
        <v>0</v>
      </c>
      <c r="AD15" s="315">
        <f>AB15/Y15</f>
      </c>
      <c r="AE15" s="315">
        <f>AC15/Y15</f>
      </c>
      <c r="AF15" s="314">
        <f>SUM(H15:K15)</f>
        <v>0</v>
      </c>
      <c r="AG15" s="130"/>
      <c r="AH15" s="11"/>
      <c r="AI15" s="196"/>
      <c r="AJ15" s="196"/>
      <c r="AK15" s="196"/>
      <c r="AL15" s="11"/>
      <c r="AM15" s="11"/>
      <c r="AN15" s="11"/>
      <c r="AO15" s="11"/>
      <c r="AP15" s="11"/>
      <c r="AQ15" s="11"/>
      <c r="AR15" s="11"/>
      <c r="AS15" s="11"/>
      <c r="AT15" s="11"/>
      <c r="AU15" s="11"/>
      <c r="AV15" s="11"/>
      <c r="AW15" s="11"/>
      <c r="AX15" s="11"/>
      <c r="AY15" s="11"/>
      <c r="AZ15" s="11"/>
      <c r="BA15" s="11"/>
      <c r="BB15" s="11"/>
      <c r="BC15" s="11"/>
      <c r="BD15" s="11"/>
      <c r="BE15" s="11"/>
      <c r="BF15" s="11"/>
      <c r="BG15" s="11"/>
      <c r="BH15" t="s" s="294">
        <f>BI15&amp;"_"&amp;IF(BJ15="男性",1,IF(BJ15="女性",2,IF(BJ15="合計",3)))</f>
        <v>303</v>
      </c>
      <c r="BI15" s="312">
        <v>2045</v>
      </c>
      <c r="BJ15" t="s" s="313">
        <v>107</v>
      </c>
      <c r="BK15" s="314">
        <f>CM16*$AK$13</f>
      </c>
      <c r="BL15" s="314">
        <v>11.0983018104617</v>
      </c>
      <c r="BM15" s="314">
        <v>14.3525453402302</v>
      </c>
      <c r="BN15" s="314">
        <v>14.9097224387397</v>
      </c>
      <c r="BO15" s="314">
        <v>17.8191533807585</v>
      </c>
      <c r="BP15" s="314">
        <v>10.3074799748169</v>
      </c>
      <c r="BQ15" s="314">
        <v>11.5978896613468</v>
      </c>
      <c r="BR15" s="314">
        <v>12.469179181332</v>
      </c>
      <c r="BS15" s="314">
        <v>13.261027988574</v>
      </c>
      <c r="BT15" s="314">
        <v>17.6234288121363</v>
      </c>
      <c r="BU15" s="314">
        <v>31.1474198193757</v>
      </c>
      <c r="BV15" s="314">
        <v>27.6331402366767</v>
      </c>
      <c r="BW15" s="314">
        <v>45.8894216569062</v>
      </c>
      <c r="BX15" s="314">
        <v>65.87343888536719</v>
      </c>
      <c r="BY15" s="314">
        <v>56.0187580950596</v>
      </c>
      <c r="BZ15" s="314">
        <v>43.2053485340188</v>
      </c>
      <c r="CA15" s="314">
        <v>45.9704798878219</v>
      </c>
      <c r="CB15" s="314">
        <v>55.7850882924395</v>
      </c>
      <c r="CC15" s="314">
        <v>23.3016638168006</v>
      </c>
      <c r="CD15" s="314">
        <v>5.58872221959915</v>
      </c>
      <c r="CE15" s="314">
        <v>0.0648450633840324</v>
      </c>
      <c r="CF15" s="314">
        <f>SUM(BK15:CE15)</f>
      </c>
      <c r="CG15" s="314">
        <f>BL15*3/5+BM15*3/5</f>
        <v>15.2705082904151</v>
      </c>
      <c r="CH15" s="314">
        <f>BM15*2/5+BN15*1/5</f>
        <v>8.72296262384002</v>
      </c>
      <c r="CI15" s="314">
        <f>SUM(BX15:CE15)</f>
        <v>295.808344794491</v>
      </c>
      <c r="CJ15" s="314">
        <f>SUM(BZ15:CE15)</f>
        <v>173.916147814064</v>
      </c>
      <c r="CK15" s="315">
        <f>CI15/CF15</f>
      </c>
      <c r="CL15" s="315">
        <f>CJ15/CF15</f>
      </c>
      <c r="CM15" s="314">
        <f>SUM(BO15:BR15)</f>
        <v>52.1937021982542</v>
      </c>
      <c r="CN15" s="130"/>
      <c r="CO15" t="s" s="294">
        <f>CP15&amp;"_"&amp;IF(CQ15="男性",1,IF(CQ15="女性",2,IF(CQ15="合計",3)))</f>
        <v>303</v>
      </c>
      <c r="CP15" s="312">
        <v>2045</v>
      </c>
      <c r="CQ15" t="s" s="313">
        <v>107</v>
      </c>
      <c r="CR15" s="314">
        <v>10.4946084020185</v>
      </c>
      <c r="CS15" s="314">
        <v>13.2228856428853</v>
      </c>
      <c r="CT15" s="314">
        <v>17.4473691087418</v>
      </c>
      <c r="CU15" s="314">
        <v>17.1500677378174</v>
      </c>
      <c r="CV15" s="314">
        <v>19.3106110120502</v>
      </c>
      <c r="CW15" s="314">
        <v>12.6376171829167</v>
      </c>
      <c r="CX15" s="314">
        <v>13.6924826213676</v>
      </c>
      <c r="CY15" s="314">
        <v>14.2220897172814</v>
      </c>
      <c r="CZ15" s="314">
        <v>14.8763602460053</v>
      </c>
      <c r="DA15" s="314">
        <v>19.2173348778453</v>
      </c>
      <c r="DB15" s="314">
        <v>31.1474198193757</v>
      </c>
      <c r="DC15" s="314">
        <v>27.6331402366767</v>
      </c>
      <c r="DD15" s="314">
        <v>45.8894216569062</v>
      </c>
      <c r="DE15" s="314">
        <v>65.87343888536719</v>
      </c>
      <c r="DF15" s="314">
        <v>56.0187580950596</v>
      </c>
      <c r="DG15" s="314">
        <v>43.2053485340188</v>
      </c>
      <c r="DH15" s="314">
        <v>45.9704798878219</v>
      </c>
      <c r="DI15" s="314">
        <v>55.7850882924395</v>
      </c>
      <c r="DJ15" s="314">
        <v>23.3016638168006</v>
      </c>
      <c r="DK15" s="314">
        <v>5.58872221959915</v>
      </c>
      <c r="DL15" s="314">
        <v>0.0648450633840324</v>
      </c>
      <c r="DM15" s="314">
        <f>SUM(CR15:DL15)</f>
        <v>552.7497530563789</v>
      </c>
      <c r="DN15" s="314">
        <f>CS15*3/5+CT15*3/5</f>
        <v>18.4021528509763</v>
      </c>
      <c r="DO15" s="314">
        <f>CT15*2/5+CU15*1/5</f>
        <v>10.4089611910602</v>
      </c>
      <c r="DP15" s="314">
        <f>SUM(DE15:DL15)</f>
        <v>295.808344794491</v>
      </c>
      <c r="DQ15" s="314">
        <f>SUM(DG15:DL15)</f>
        <v>173.916147814064</v>
      </c>
      <c r="DR15" s="315">
        <f>DP15/DM15</f>
        <v>0.535157805424328</v>
      </c>
      <c r="DS15" s="315">
        <f>DQ15/DM15</f>
        <v>0.314638128470272</v>
      </c>
      <c r="DT15" s="314">
        <f>SUM(CV15:CY15)</f>
        <v>59.8628005336159</v>
      </c>
      <c r="DU15" s="130"/>
      <c r="DV15" t="s" s="336">
        <v>304</v>
      </c>
      <c r="DW15" s="345">
        <f>AK13+AK14</f>
      </c>
      <c r="DX15" s="196"/>
      <c r="DY15" s="196"/>
      <c r="DZ15" s="196"/>
      <c r="EA15" s="196"/>
      <c r="EB15" s="196"/>
      <c r="EC15" s="196"/>
      <c r="ED15" s="196"/>
      <c r="EE15" s="196"/>
      <c r="EF15" s="196"/>
      <c r="EG15" s="196"/>
      <c r="EH15" s="196"/>
      <c r="EI15" s="196"/>
      <c r="EJ15" s="196"/>
      <c r="EK15" s="196"/>
      <c r="EL15" s="196"/>
      <c r="EM15" s="196"/>
      <c r="EN15" s="196"/>
      <c r="EO15" s="196"/>
      <c r="EP15" s="196"/>
      <c r="EQ15" s="196"/>
      <c r="ER15" s="196"/>
      <c r="ES15" s="196"/>
      <c r="ET15" s="196"/>
      <c r="EU15" s="196"/>
      <c r="EV15" s="196"/>
      <c r="EW15" s="196"/>
      <c r="EX15" s="196"/>
      <c r="EY15" s="196"/>
      <c r="EZ15" s="196"/>
      <c r="FA15" s="196"/>
      <c r="FB15" s="346"/>
    </row>
    <row r="16" ht="12.95" customHeight="1">
      <c r="A16" t="s" s="282">
        <f>B16&amp;"_"&amp;IF(C16="男性",1,IF(C16="女性",2,IF(C16="合計",3)))</f>
        <v>275</v>
      </c>
      <c r="B16" s="319">
        <v>2025</v>
      </c>
      <c r="C16" t="s" s="320">
        <v>108</v>
      </c>
      <c r="D16" s="347"/>
      <c r="E16" s="347"/>
      <c r="F16" s="347"/>
      <c r="G16" s="347"/>
      <c r="H16" s="347"/>
      <c r="I16" s="347"/>
      <c r="J16" s="347"/>
      <c r="K16" s="347"/>
      <c r="L16" s="347"/>
      <c r="M16" s="347"/>
      <c r="N16" s="347"/>
      <c r="O16" s="347"/>
      <c r="P16" s="347"/>
      <c r="Q16" s="347"/>
      <c r="R16" s="347"/>
      <c r="S16" s="347"/>
      <c r="T16" s="347"/>
      <c r="U16" s="347"/>
      <c r="V16" s="347"/>
      <c r="W16" s="347"/>
      <c r="X16" s="347"/>
      <c r="Y16" s="321">
        <f>SUM(D16:X16)</f>
        <v>0</v>
      </c>
      <c r="Z16" s="321">
        <f>E16*3/5+F16*3/5</f>
        <v>0</v>
      </c>
      <c r="AA16" s="321">
        <f>F16*2/5+G16*1/5</f>
        <v>0</v>
      </c>
      <c r="AB16" s="321">
        <f>SUM(Q16:X16)</f>
        <v>0</v>
      </c>
      <c r="AC16" s="321">
        <f>SUM(S16:X16)</f>
        <v>0</v>
      </c>
      <c r="AD16" s="322">
        <f>AB16/Y16</f>
      </c>
      <c r="AE16" s="322">
        <f>AC16/Y16</f>
      </c>
      <c r="AF16" s="321">
        <f>SUM(H16:K16)</f>
        <v>0</v>
      </c>
      <c r="AG16" s="130"/>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t="s" s="294">
        <f>BI16&amp;"_"&amp;IF(BJ16="男性",1,IF(BJ16="女性",2,IF(BJ16="合計",3)))</f>
        <v>305</v>
      </c>
      <c r="BI16" s="319">
        <f>BI15</f>
        <v>2045</v>
      </c>
      <c r="BJ16" t="s" s="320">
        <v>108</v>
      </c>
      <c r="BK16" s="321">
        <f>CM16*$AK$14</f>
      </c>
      <c r="BL16" s="321">
        <v>7.79501041178564</v>
      </c>
      <c r="BM16" s="321">
        <v>8.712471508579331</v>
      </c>
      <c r="BN16" s="321">
        <v>9.16333976020228</v>
      </c>
      <c r="BO16" s="321">
        <v>7.51222642663107</v>
      </c>
      <c r="BP16" s="321">
        <v>9.203479771588309</v>
      </c>
      <c r="BQ16" s="321">
        <v>13.1359199519692</v>
      </c>
      <c r="BR16" s="321">
        <v>16.7337222286202</v>
      </c>
      <c r="BS16" s="321">
        <v>17.3633727343551</v>
      </c>
      <c r="BT16" s="321">
        <v>17.089342071756</v>
      </c>
      <c r="BU16" s="321">
        <v>24.8524363754307</v>
      </c>
      <c r="BV16" s="321">
        <v>40.6933387636181</v>
      </c>
      <c r="BW16" s="321">
        <v>42.982688461922</v>
      </c>
      <c r="BX16" s="321">
        <v>67.6370216382121</v>
      </c>
      <c r="BY16" s="321">
        <v>45.2378880623589</v>
      </c>
      <c r="BZ16" s="321">
        <v>60.067148601455</v>
      </c>
      <c r="CA16" s="321">
        <v>68.49134884178279</v>
      </c>
      <c r="CB16" s="321">
        <v>65.55341648165469</v>
      </c>
      <c r="CC16" s="321">
        <v>39.5300247972989</v>
      </c>
      <c r="CD16" s="321">
        <v>10.4184562362458</v>
      </c>
      <c r="CE16" s="321">
        <v>0.9322273658770029</v>
      </c>
      <c r="CF16" s="321">
        <f>SUM(BK16:CE16)</f>
      </c>
      <c r="CG16" s="321">
        <f>BL16*3/5+BM16*3/5</f>
        <v>9.90448915221898</v>
      </c>
      <c r="CH16" s="321">
        <f>BM16*2/5+BN16*1/5</f>
        <v>5.31765655547219</v>
      </c>
      <c r="CI16" s="321">
        <f>SUM(BX16:CE16)</f>
        <v>357.867532024885</v>
      </c>
      <c r="CJ16" s="321">
        <f>SUM(BZ16:CE16)</f>
        <v>244.992622324314</v>
      </c>
      <c r="CK16" s="322">
        <f>CI16/CF16</f>
      </c>
      <c r="CL16" s="322">
        <f>CJ16/CF16</f>
      </c>
      <c r="CM16" s="321">
        <f>SUM(BO16:BR16)</f>
        <v>46.5853483788088</v>
      </c>
      <c r="CN16" s="130"/>
      <c r="CO16" t="s" s="294">
        <f>CP16&amp;"_"&amp;IF(CQ16="男性",1,IF(CQ16="女性",2,IF(CQ16="合計",3)))</f>
        <v>305</v>
      </c>
      <c r="CP16" s="319">
        <f>CP15</f>
        <v>2045</v>
      </c>
      <c r="CQ16" t="s" s="320">
        <v>108</v>
      </c>
      <c r="CR16" s="321">
        <v>8.53852348709824</v>
      </c>
      <c r="CS16" s="321">
        <v>9.470398795027689</v>
      </c>
      <c r="CT16" s="321">
        <v>11.1467924586418</v>
      </c>
      <c r="CU16" s="321">
        <v>11.0043147754605</v>
      </c>
      <c r="CV16" s="321">
        <v>8.424120023374551</v>
      </c>
      <c r="CW16" s="321">
        <v>11.6890830311338</v>
      </c>
      <c r="CX16" s="321">
        <v>15.2987064733161</v>
      </c>
      <c r="CY16" s="321">
        <v>18.3000703177505</v>
      </c>
      <c r="CZ16" s="321">
        <v>19.7854448924423</v>
      </c>
      <c r="DA16" s="321">
        <v>19.3515922830617</v>
      </c>
      <c r="DB16" s="321">
        <v>25.772237075901</v>
      </c>
      <c r="DC16" s="321">
        <v>41.6155274089529</v>
      </c>
      <c r="DD16" s="321">
        <v>43.893140097250</v>
      </c>
      <c r="DE16" s="321">
        <v>67.6370216382121</v>
      </c>
      <c r="DF16" s="321">
        <v>45.2378880623589</v>
      </c>
      <c r="DG16" s="321">
        <v>60.067148601455</v>
      </c>
      <c r="DH16" s="321">
        <v>68.49134884178279</v>
      </c>
      <c r="DI16" s="321">
        <v>65.55341648165469</v>
      </c>
      <c r="DJ16" s="321">
        <v>39.5300247972989</v>
      </c>
      <c r="DK16" s="321">
        <v>10.4184562362458</v>
      </c>
      <c r="DL16" s="321">
        <v>0.9322273658770029</v>
      </c>
      <c r="DM16" s="321">
        <f>SUM(CR16:DL16)</f>
        <v>602.157483144296</v>
      </c>
      <c r="DN16" s="321">
        <f>CS16*3/5+CT16*3/5</f>
        <v>12.3703147522017</v>
      </c>
      <c r="DO16" s="321">
        <f>CT16*2/5+CU16*1/5</f>
        <v>6.65957993854882</v>
      </c>
      <c r="DP16" s="321">
        <f>SUM(DE16:DL16)</f>
        <v>357.867532024885</v>
      </c>
      <c r="DQ16" s="321">
        <f>SUM(DG16:DL16)</f>
        <v>244.992622324314</v>
      </c>
      <c r="DR16" s="322">
        <f>DP16/DM16</f>
        <v>0.594308867766954</v>
      </c>
      <c r="DS16" s="322">
        <f>DQ16/DM16</f>
        <v>0.406858054881311</v>
      </c>
      <c r="DT16" s="321">
        <f>SUM(CV16:CY16)</f>
        <v>53.711979845575</v>
      </c>
      <c r="DU16" s="130"/>
      <c r="DV16" t="s" s="348">
        <v>306</v>
      </c>
      <c r="DW16" s="11">
        <f>IF(DW10&lt;0,ABS(DW10)/DW15,0)</f>
      </c>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2"/>
    </row>
    <row r="17" ht="12.95" customHeight="1">
      <c r="A17" t="s" s="282">
        <f>B17&amp;"_"&amp;IF(C17="男性",1,IF(C17="女性",2,IF(C17="合計",3)))</f>
        <v>278</v>
      </c>
      <c r="B17" s="327">
        <v>2025</v>
      </c>
      <c r="C17" t="s" s="323">
        <v>236</v>
      </c>
      <c r="D17" s="349"/>
      <c r="E17" s="349"/>
      <c r="F17" s="349"/>
      <c r="G17" s="349"/>
      <c r="H17" s="349"/>
      <c r="I17" s="349"/>
      <c r="J17" s="349"/>
      <c r="K17" s="349"/>
      <c r="L17" s="349"/>
      <c r="M17" s="349"/>
      <c r="N17" s="349"/>
      <c r="O17" s="349"/>
      <c r="P17" s="349"/>
      <c r="Q17" s="349"/>
      <c r="R17" s="349"/>
      <c r="S17" s="349"/>
      <c r="T17" s="349"/>
      <c r="U17" s="349"/>
      <c r="V17" s="349"/>
      <c r="W17" s="349"/>
      <c r="X17" s="349"/>
      <c r="Y17" s="328">
        <f>SUM(D17:X17)</f>
        <v>0</v>
      </c>
      <c r="Z17" s="328">
        <f>E17*3/5+F17*3/5</f>
        <v>0</v>
      </c>
      <c r="AA17" s="328">
        <f>F17*2/5+G17*1/5</f>
        <v>0</v>
      </c>
      <c r="AB17" s="328">
        <f>SUM(Q17:X17)</f>
        <v>0</v>
      </c>
      <c r="AC17" s="328">
        <f>SUM(S17:X17)</f>
        <v>0</v>
      </c>
      <c r="AD17" s="329">
        <f>AB17/Y17</f>
      </c>
      <c r="AE17" s="329">
        <f>AC17/Y17</f>
      </c>
      <c r="AF17" s="328">
        <f>SUM(H17:K17)</f>
        <v>0</v>
      </c>
      <c r="AG17" s="130"/>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t="s" s="294">
        <f>BI17&amp;"_"&amp;IF(BJ17="男性",1,IF(BJ17="女性",2,IF(BJ17="合計",3)))</f>
        <v>307</v>
      </c>
      <c r="BI17" s="327">
        <f>BI16</f>
        <v>2045</v>
      </c>
      <c r="BJ17" t="s" s="323">
        <v>236</v>
      </c>
      <c r="BK17" s="328">
        <f>BK15+BK16</f>
      </c>
      <c r="BL17" s="328">
        <f>BL15+BL16</f>
        <v>18.8933122222473</v>
      </c>
      <c r="BM17" s="328">
        <f>BM15+BM16</f>
        <v>23.0650168488095</v>
      </c>
      <c r="BN17" s="328">
        <f>BN15+BN16</f>
        <v>24.073062198942</v>
      </c>
      <c r="BO17" s="328">
        <f>BO15+BO16</f>
        <v>25.3313798073896</v>
      </c>
      <c r="BP17" s="328">
        <f>BP15+BP16</f>
        <v>19.5109597464052</v>
      </c>
      <c r="BQ17" s="328">
        <f>BQ15+BQ16</f>
        <v>24.733809613316</v>
      </c>
      <c r="BR17" s="328">
        <f>BR15+BR16</f>
        <v>29.2029014099522</v>
      </c>
      <c r="BS17" s="328">
        <f>BS15+BS16</f>
        <v>30.6244007229291</v>
      </c>
      <c r="BT17" s="328">
        <f>BT15+BT16</f>
        <v>34.7127708838923</v>
      </c>
      <c r="BU17" s="328">
        <f>BU15+BU16</f>
        <v>55.9998561948064</v>
      </c>
      <c r="BV17" s="328">
        <f>BV15+BV16</f>
        <v>68.3264790002948</v>
      </c>
      <c r="BW17" s="328">
        <f>BW15+BW16</f>
        <v>88.8721101188282</v>
      </c>
      <c r="BX17" s="328">
        <f>BX15+BX16</f>
        <v>133.510460523579</v>
      </c>
      <c r="BY17" s="328">
        <f>BY15+BY16</f>
        <v>101.256646157419</v>
      </c>
      <c r="BZ17" s="328">
        <f>BZ15+BZ16</f>
        <v>103.272497135474</v>
      </c>
      <c r="CA17" s="328">
        <f>CA15+CA16</f>
        <v>114.461828729605</v>
      </c>
      <c r="CB17" s="328">
        <f>CB15+CB16</f>
        <v>121.338504774094</v>
      </c>
      <c r="CC17" s="328">
        <f>CC15+CC16</f>
        <v>62.8316886140995</v>
      </c>
      <c r="CD17" s="328">
        <f>CD15+CD16</f>
        <v>16.007178455845</v>
      </c>
      <c r="CE17" s="328">
        <f>CE15+CE16</f>
        <v>0.997072429261035</v>
      </c>
      <c r="CF17" s="328">
        <f>SUM(BK17:CE17)</f>
      </c>
      <c r="CG17" s="328">
        <f>BL17*3/5+BM17*3/5</f>
        <v>25.1749974426341</v>
      </c>
      <c r="CH17" s="328">
        <f>BM17*2/5+BN17*1/5</f>
        <v>14.0406191793122</v>
      </c>
      <c r="CI17" s="328">
        <f>SUM(BX17:CE17)</f>
        <v>653.675876819377</v>
      </c>
      <c r="CJ17" s="328">
        <f>SUM(BZ17:CE17)</f>
        <v>418.908770138379</v>
      </c>
      <c r="CK17" s="329">
        <f>CI17/CF17</f>
      </c>
      <c r="CL17" s="329">
        <f>CJ17/CF17</f>
      </c>
      <c r="CM17" s="328">
        <f>SUM(BO17:BR17)</f>
        <v>98.779050577063</v>
      </c>
      <c r="CN17" s="130"/>
      <c r="CO17" t="s" s="294">
        <f>CP17&amp;"_"&amp;IF(CQ17="男性",1,IF(CQ17="女性",2,IF(CQ17="合計",3)))</f>
        <v>307</v>
      </c>
      <c r="CP17" s="327">
        <f>CP16</f>
        <v>2045</v>
      </c>
      <c r="CQ17" t="s" s="323">
        <v>236</v>
      </c>
      <c r="CR17" s="328">
        <f>CR15+CR16</f>
        <v>19.0331318891167</v>
      </c>
      <c r="CS17" s="328">
        <f>CS15+CS16</f>
        <v>22.693284437913</v>
      </c>
      <c r="CT17" s="328">
        <f>CT15+CT16</f>
        <v>28.5941615673836</v>
      </c>
      <c r="CU17" s="328">
        <f>CU15+CU16</f>
        <v>28.1543825132779</v>
      </c>
      <c r="CV17" s="328">
        <f>CV15+CV16</f>
        <v>27.7347310354248</v>
      </c>
      <c r="CW17" s="328">
        <f>CW15+CW16</f>
        <v>24.3267002140505</v>
      </c>
      <c r="CX17" s="328">
        <f>CX15+CX16</f>
        <v>28.9911890946837</v>
      </c>
      <c r="CY17" s="328">
        <f>CY15+CY16</f>
        <v>32.5221600350319</v>
      </c>
      <c r="CZ17" s="328">
        <f>CZ15+CZ16</f>
        <v>34.6618051384476</v>
      </c>
      <c r="DA17" s="328">
        <f>DA15+DA16</f>
        <v>38.568927160907</v>
      </c>
      <c r="DB17" s="328">
        <f>DB15+DB16</f>
        <v>56.9196568952767</v>
      </c>
      <c r="DC17" s="328">
        <f>DC15+DC16</f>
        <v>69.2486676456296</v>
      </c>
      <c r="DD17" s="328">
        <f>DD15+DD16</f>
        <v>89.78256175415621</v>
      </c>
      <c r="DE17" s="328">
        <f>DE15+DE16</f>
        <v>133.510460523579</v>
      </c>
      <c r="DF17" s="328">
        <f>DF15+DF16</f>
        <v>101.256646157419</v>
      </c>
      <c r="DG17" s="328">
        <f>DG15+DG16</f>
        <v>103.272497135474</v>
      </c>
      <c r="DH17" s="328">
        <f>DH15+DH16</f>
        <v>114.461828729605</v>
      </c>
      <c r="DI17" s="328">
        <f>DI15+DI16</f>
        <v>121.338504774094</v>
      </c>
      <c r="DJ17" s="328">
        <f>DJ15+DJ16</f>
        <v>62.8316886140995</v>
      </c>
      <c r="DK17" s="328">
        <f>DK15+DK16</f>
        <v>16.007178455845</v>
      </c>
      <c r="DL17" s="328">
        <f>DL15+DL16</f>
        <v>0.997072429261035</v>
      </c>
      <c r="DM17" s="328">
        <f>SUM(CR17:DL17)</f>
        <v>1154.907236200680</v>
      </c>
      <c r="DN17" s="328">
        <f>CS17*3/5+CT17*3/5</f>
        <v>30.772467603178</v>
      </c>
      <c r="DO17" s="328">
        <f>CT17*2/5+CU17*1/5</f>
        <v>17.068541129609</v>
      </c>
      <c r="DP17" s="328">
        <f>SUM(DE17:DL17)</f>
        <v>653.675876819377</v>
      </c>
      <c r="DQ17" s="328">
        <f>SUM(DG17:DL17)</f>
        <v>418.908770138379</v>
      </c>
      <c r="DR17" s="329">
        <f>DP17/DM17</f>
        <v>0.565998598268192</v>
      </c>
      <c r="DS17" s="329">
        <f>DQ17/DM17</f>
        <v>0.362720707782965</v>
      </c>
      <c r="DT17" s="328">
        <f>SUM(CV17:CY17)</f>
        <v>113.574780379191</v>
      </c>
      <c r="DU17" s="130"/>
      <c r="DV17" t="s" s="336">
        <v>308</v>
      </c>
      <c r="DW17" s="11">
        <f>IF(DW9&gt;=0,0,IF(AND(DW10&lt;=0,DW9&lt;=0,DW16*2&gt;=ABS(DW9)),ROUND(DW16/3,0),ROUND(ABS(DW9)/6,0)))</f>
      </c>
      <c r="DX17" t="s" s="350">
        <v>309</v>
      </c>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351"/>
    </row>
    <row r="18" ht="16" customHeight="1">
      <c r="A18" t="s" s="282">
        <f>B18&amp;"_"&amp;IF(C18="男性",1,IF(C18="女性",2,IF(C18="合計",3)))</f>
        <v>280</v>
      </c>
      <c r="B18" s="312">
        <v>2030</v>
      </c>
      <c r="C18" t="s" s="313">
        <v>107</v>
      </c>
      <c r="D18" s="344"/>
      <c r="E18" s="344"/>
      <c r="F18" s="344"/>
      <c r="G18" s="344"/>
      <c r="H18" s="344"/>
      <c r="I18" s="344"/>
      <c r="J18" s="344"/>
      <c r="K18" s="344"/>
      <c r="L18" s="344"/>
      <c r="M18" s="344"/>
      <c r="N18" s="344"/>
      <c r="O18" s="344"/>
      <c r="P18" s="344"/>
      <c r="Q18" s="344"/>
      <c r="R18" s="344"/>
      <c r="S18" s="344"/>
      <c r="T18" s="344"/>
      <c r="U18" s="344"/>
      <c r="V18" s="344"/>
      <c r="W18" s="344"/>
      <c r="X18" s="344"/>
      <c r="Y18" s="314">
        <f>SUM(D18:X18)</f>
        <v>0</v>
      </c>
      <c r="Z18" s="314">
        <f>E18*3/5+F18*3/5</f>
        <v>0</v>
      </c>
      <c r="AA18" s="314">
        <f>F18*2/5+G18*1/5</f>
        <v>0</v>
      </c>
      <c r="AB18" s="314">
        <f>SUM(Q18:X18)</f>
        <v>0</v>
      </c>
      <c r="AC18" s="314">
        <f>SUM(S18:X18)</f>
        <v>0</v>
      </c>
      <c r="AD18" s="315">
        <f>AB18/Y18</f>
      </c>
      <c r="AE18" s="315">
        <f>AC18/Y18</f>
      </c>
      <c r="AF18" s="314">
        <f>SUM(H18:K18)</f>
        <v>0</v>
      </c>
      <c r="AG18" s="130"/>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t="s" s="294">
        <f>BI18&amp;"_"&amp;IF(BJ18="男性",1,IF(BJ18="女性",2,IF(BJ18="合計",3)))</f>
        <v>310</v>
      </c>
      <c r="BI18" s="312">
        <v>2050</v>
      </c>
      <c r="BJ18" t="s" s="313">
        <v>107</v>
      </c>
      <c r="BK18" s="314">
        <f>CM19*$AK$13</f>
      </c>
      <c r="BL18" s="314">
        <v>8.27626763663157</v>
      </c>
      <c r="BM18" s="314">
        <v>11.4059973758896</v>
      </c>
      <c r="BN18" s="314">
        <v>11.839832905046</v>
      </c>
      <c r="BO18" s="314">
        <v>13.2601661325352</v>
      </c>
      <c r="BP18" s="314">
        <v>8.018358838981399</v>
      </c>
      <c r="BQ18" s="314">
        <v>9.265538061774601</v>
      </c>
      <c r="BR18" s="314">
        <v>11.3081245621249</v>
      </c>
      <c r="BS18" s="314">
        <v>11.4905278633556</v>
      </c>
      <c r="BT18" s="314">
        <v>13.0851302271004</v>
      </c>
      <c r="BU18" s="314">
        <v>17.1296981212844</v>
      </c>
      <c r="BV18" s="314">
        <v>30.1363176227007</v>
      </c>
      <c r="BW18" s="314">
        <v>27.3661918274212</v>
      </c>
      <c r="BX18" s="314">
        <v>43.1190103575658</v>
      </c>
      <c r="BY18" s="314">
        <v>60.1508634926159</v>
      </c>
      <c r="BZ18" s="314">
        <v>46.5252152866573</v>
      </c>
      <c r="CA18" s="314">
        <v>34.5217033547477</v>
      </c>
      <c r="CB18" s="314">
        <v>28.1950596829253</v>
      </c>
      <c r="CC18" s="314">
        <v>22.7916895649863</v>
      </c>
      <c r="CD18" s="314">
        <v>4.46789008234441</v>
      </c>
      <c r="CE18" s="314">
        <v>0.0790364675929298</v>
      </c>
      <c r="CF18" s="314">
        <f>SUM(BK18:CE18)</f>
      </c>
      <c r="CG18" s="314">
        <f>BL18*3/5+BM18*3/5</f>
        <v>11.8093590075127</v>
      </c>
      <c r="CH18" s="314">
        <f>BM18*2/5+BN18*1/5</f>
        <v>6.93036553136504</v>
      </c>
      <c r="CI18" s="314">
        <f>SUM(BX18:CE18)</f>
        <v>239.850468289436</v>
      </c>
      <c r="CJ18" s="314">
        <f>SUM(BZ18:CE18)</f>
        <v>136.580594439254</v>
      </c>
      <c r="CK18" s="315">
        <f>CI18/CF18</f>
      </c>
      <c r="CL18" s="315">
        <f>CJ18/CF18</f>
      </c>
      <c r="CM18" s="314">
        <f>SUM(BO18:BR18)</f>
        <v>41.8521875954161</v>
      </c>
      <c r="CN18" s="130"/>
      <c r="CO18" t="s" s="294">
        <f>CP18&amp;"_"&amp;IF(CQ18="男性",1,IF(CQ18="女性",2,IF(CQ18="合計",3)))</f>
        <v>310</v>
      </c>
      <c r="CP18" s="312">
        <v>2050</v>
      </c>
      <c r="CQ18" t="s" s="313">
        <v>107</v>
      </c>
      <c r="CR18" s="314">
        <v>8.191464620518341</v>
      </c>
      <c r="CS18" s="314">
        <v>10.5474025195225</v>
      </c>
      <c r="CT18" s="314">
        <v>14.5894843661819</v>
      </c>
      <c r="CU18" s="314">
        <v>14.3928432193234</v>
      </c>
      <c r="CV18" s="314">
        <v>15.2526479498243</v>
      </c>
      <c r="CW18" s="314">
        <v>10.6894929958796</v>
      </c>
      <c r="CX18" s="314">
        <v>11.3601310217954</v>
      </c>
      <c r="CY18" s="314">
        <v>13.3503855932679</v>
      </c>
      <c r="CZ18" s="314">
        <v>13.1058601207869</v>
      </c>
      <c r="DA18" s="314">
        <v>14.6790362928093</v>
      </c>
      <c r="DB18" s="314">
        <v>18.6789499740496</v>
      </c>
      <c r="DC18" s="314">
        <v>30.1363176227007</v>
      </c>
      <c r="DD18" s="314">
        <v>27.3661918274212</v>
      </c>
      <c r="DE18" s="314">
        <v>43.1190103575658</v>
      </c>
      <c r="DF18" s="314">
        <v>60.1508634926159</v>
      </c>
      <c r="DG18" s="314">
        <v>46.5252152866573</v>
      </c>
      <c r="DH18" s="314">
        <v>34.5217033547477</v>
      </c>
      <c r="DI18" s="314">
        <v>28.1950596829253</v>
      </c>
      <c r="DJ18" s="314">
        <v>22.7916895649863</v>
      </c>
      <c r="DK18" s="314">
        <v>4.46789008234441</v>
      </c>
      <c r="DL18" s="314">
        <v>0.0790364675929298</v>
      </c>
      <c r="DM18" s="314">
        <f>SUM(CR18:DL18)</f>
        <v>442.190676413517</v>
      </c>
      <c r="DN18" s="314">
        <f>CS18*3/5+CT18*3/5</f>
        <v>15.0821321314226</v>
      </c>
      <c r="DO18" s="314">
        <f>CT18*2/5+CU18*1/5</f>
        <v>8.71436239033744</v>
      </c>
      <c r="DP18" s="314">
        <f>SUM(DE18:DL18)</f>
        <v>239.850468289436</v>
      </c>
      <c r="DQ18" s="314">
        <f>SUM(DG18:DL18)</f>
        <v>136.580594439254</v>
      </c>
      <c r="DR18" s="315">
        <f>DP18/DM18</f>
        <v>0.5424141237775409</v>
      </c>
      <c r="DS18" s="315">
        <f>DQ18/DM18</f>
        <v>0.308872623789856</v>
      </c>
      <c r="DT18" s="314">
        <f>SUM(CV18:CY18)</f>
        <v>50.6526575607672</v>
      </c>
      <c r="DU18" s="130"/>
      <c r="DV18" s="11"/>
      <c r="DW18" s="288"/>
      <c r="DX18" s="352">
        <f>DX1</f>
      </c>
      <c r="DY18" s="353"/>
      <c r="DZ18" t="s" s="354">
        <v>109</v>
      </c>
      <c r="EA18" t="s" s="354">
        <v>110</v>
      </c>
      <c r="EB18" t="s" s="354">
        <v>111</v>
      </c>
      <c r="EC18" t="s" s="354">
        <v>112</v>
      </c>
      <c r="ED18" t="s" s="354">
        <v>113</v>
      </c>
      <c r="EE18" t="s" s="354">
        <v>114</v>
      </c>
      <c r="EF18" t="s" s="354">
        <v>115</v>
      </c>
      <c r="EG18" t="s" s="354">
        <v>116</v>
      </c>
      <c r="EH18" t="s" s="354">
        <v>117</v>
      </c>
      <c r="EI18" t="s" s="354">
        <v>118</v>
      </c>
      <c r="EJ18" t="s" s="354">
        <v>119</v>
      </c>
      <c r="EK18" t="s" s="354">
        <v>120</v>
      </c>
      <c r="EL18" t="s" s="354">
        <v>121</v>
      </c>
      <c r="EM18" t="s" s="354">
        <v>228</v>
      </c>
      <c r="EN18" t="s" s="354">
        <v>229</v>
      </c>
      <c r="EO18" t="s" s="354">
        <v>230</v>
      </c>
      <c r="EP18" t="s" s="354">
        <v>231</v>
      </c>
      <c r="EQ18" t="s" s="354">
        <v>232</v>
      </c>
      <c r="ER18" t="s" s="354">
        <v>233</v>
      </c>
      <c r="ES18" t="s" s="354">
        <v>234</v>
      </c>
      <c r="ET18" t="s" s="354">
        <v>235</v>
      </c>
      <c r="EU18" t="s" s="354">
        <v>236</v>
      </c>
      <c r="EV18" t="s" s="355">
        <v>237</v>
      </c>
      <c r="EW18" t="s" s="355">
        <v>238</v>
      </c>
      <c r="EX18" t="s" s="356">
        <v>239</v>
      </c>
      <c r="EY18" t="s" s="356">
        <v>240</v>
      </c>
      <c r="EZ18" t="s" s="355">
        <v>241</v>
      </c>
      <c r="FA18" t="s" s="355">
        <v>242</v>
      </c>
      <c r="FB18" t="s" s="355">
        <v>243</v>
      </c>
    </row>
    <row r="19" ht="16" customHeight="1">
      <c r="A19" t="s" s="282">
        <f>B19&amp;"_"&amp;IF(C19="男性",1,IF(C19="女性",2,IF(C19="合計",3)))</f>
        <v>284</v>
      </c>
      <c r="B19" s="319">
        <v>2030</v>
      </c>
      <c r="C19" t="s" s="320">
        <v>108</v>
      </c>
      <c r="D19" s="347"/>
      <c r="E19" s="347"/>
      <c r="F19" s="347"/>
      <c r="G19" s="347"/>
      <c r="H19" s="347"/>
      <c r="I19" s="347"/>
      <c r="J19" s="347"/>
      <c r="K19" s="347"/>
      <c r="L19" s="347"/>
      <c r="M19" s="347"/>
      <c r="N19" s="347"/>
      <c r="O19" s="347"/>
      <c r="P19" s="347"/>
      <c r="Q19" s="347"/>
      <c r="R19" s="347"/>
      <c r="S19" s="347"/>
      <c r="T19" s="347"/>
      <c r="U19" s="347"/>
      <c r="V19" s="347"/>
      <c r="W19" s="347"/>
      <c r="X19" s="347"/>
      <c r="Y19" s="321">
        <f>SUM(D19:X19)</f>
        <v>0</v>
      </c>
      <c r="Z19" s="321">
        <f>E19*3/5+F19*3/5</f>
        <v>0</v>
      </c>
      <c r="AA19" s="321">
        <f>F19*2/5+G19*1/5</f>
        <v>0</v>
      </c>
      <c r="AB19" s="321">
        <f>SUM(Q19:X19)</f>
        <v>0</v>
      </c>
      <c r="AC19" s="321">
        <f>SUM(S19:X19)</f>
        <v>0</v>
      </c>
      <c r="AD19" s="322">
        <f>AB19/Y19</f>
      </c>
      <c r="AE19" s="322">
        <f>AC19/Y19</f>
      </c>
      <c r="AF19" s="321">
        <f>SUM(H19:K19)</f>
        <v>0</v>
      </c>
      <c r="AG19" s="130"/>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t="s" s="294">
        <f>BI19&amp;"_"&amp;IF(BJ19="男性",1,IF(BJ19="女性",2,IF(BJ19="合計",3)))</f>
        <v>311</v>
      </c>
      <c r="BI19" s="319">
        <f>BI18</f>
        <v>2050</v>
      </c>
      <c r="BJ19" t="s" s="320">
        <v>108</v>
      </c>
      <c r="BK19" s="321">
        <f>CM19*$AK$14</f>
      </c>
      <c r="BL19" s="321">
        <v>5.81292467082257</v>
      </c>
      <c r="BM19" s="321">
        <v>6.92381907241374</v>
      </c>
      <c r="BN19" s="321">
        <v>7.27662181899947</v>
      </c>
      <c r="BO19" s="321">
        <v>5.59024148419499</v>
      </c>
      <c r="BP19" s="321">
        <v>7.15953885490937</v>
      </c>
      <c r="BQ19" s="321">
        <v>8.00818148392659</v>
      </c>
      <c r="BR19" s="321">
        <v>11.8232516843946</v>
      </c>
      <c r="BS19" s="321">
        <v>15.1923832560731</v>
      </c>
      <c r="BT19" s="321">
        <v>16.2176397206499</v>
      </c>
      <c r="BU19" s="321">
        <v>16.8292793347406</v>
      </c>
      <c r="BV19" s="321">
        <v>24.9169571436624</v>
      </c>
      <c r="BW19" s="321">
        <v>40.1754207360027</v>
      </c>
      <c r="BX19" s="321">
        <v>42.0153106430548</v>
      </c>
      <c r="BY19" s="321">
        <v>64.2243133258076</v>
      </c>
      <c r="BZ19" s="321">
        <v>41.0785116833295</v>
      </c>
      <c r="CA19" s="321">
        <v>48.9522745963858</v>
      </c>
      <c r="CB19" s="321">
        <v>49.1475839906595</v>
      </c>
      <c r="CC19" s="321">
        <v>32.1197937508973</v>
      </c>
      <c r="CD19" s="321">
        <v>8.60241768398935</v>
      </c>
      <c r="CE19" s="321">
        <v>1.05242300773496</v>
      </c>
      <c r="CF19" s="321">
        <f>SUM(BK19:CE19)</f>
      </c>
      <c r="CG19" s="321">
        <f>BL19*3/5+BM19*3/5</f>
        <v>7.64204624594179</v>
      </c>
      <c r="CH19" s="321">
        <f>BM19*2/5+BN19*1/5</f>
        <v>4.22485199276539</v>
      </c>
      <c r="CI19" s="321">
        <f>SUM(BX19:CE19)</f>
        <v>287.192628681859</v>
      </c>
      <c r="CJ19" s="321">
        <f>SUM(BZ19:CE19)</f>
        <v>180.953004712996</v>
      </c>
      <c r="CK19" s="322">
        <f>CI19/CF19</f>
      </c>
      <c r="CL19" s="322">
        <f>CJ19/CF19</f>
      </c>
      <c r="CM19" s="321">
        <f>SUM(BO19:BR19)</f>
        <v>32.5812135074256</v>
      </c>
      <c r="CN19" s="130"/>
      <c r="CO19" t="s" s="294">
        <f>CP19&amp;"_"&amp;IF(CQ19="男性",1,IF(CQ19="女性",2,IF(CQ19="合計",3)))</f>
        <v>311</v>
      </c>
      <c r="CP19" s="319">
        <f>CP18</f>
        <v>2050</v>
      </c>
      <c r="CQ19" t="s" s="320">
        <v>108</v>
      </c>
      <c r="CR19" s="321">
        <v>6.70987476817771</v>
      </c>
      <c r="CS19" s="321">
        <v>7.5912447443142</v>
      </c>
      <c r="CT19" s="321">
        <v>9.411961541608269</v>
      </c>
      <c r="CU19" s="321">
        <v>9.309757069109491</v>
      </c>
      <c r="CV19" s="321">
        <v>6.71335763736443</v>
      </c>
      <c r="CW19" s="321">
        <v>10.0286204382711</v>
      </c>
      <c r="CX19" s="321">
        <v>10.1709680052735</v>
      </c>
      <c r="CY19" s="321">
        <v>13.7699116423572</v>
      </c>
      <c r="CZ19" s="321">
        <v>17.6144554141603</v>
      </c>
      <c r="DA19" s="321">
        <v>18.4798899319557</v>
      </c>
      <c r="DB19" s="321">
        <v>19.0571030023388</v>
      </c>
      <c r="DC19" s="321">
        <v>25.8391457889973</v>
      </c>
      <c r="DD19" s="321">
        <v>41.0858723713307</v>
      </c>
      <c r="DE19" s="321">
        <v>42.9052714540839</v>
      </c>
      <c r="DF19" s="321">
        <v>64.2243133258076</v>
      </c>
      <c r="DG19" s="321">
        <v>41.0785116833295</v>
      </c>
      <c r="DH19" s="321">
        <v>48.9522745963858</v>
      </c>
      <c r="DI19" s="321">
        <v>49.1475839906595</v>
      </c>
      <c r="DJ19" s="321">
        <v>32.1197937508973</v>
      </c>
      <c r="DK19" s="321">
        <v>8.60241768398935</v>
      </c>
      <c r="DL19" s="321">
        <v>1.05242300773496</v>
      </c>
      <c r="DM19" s="321">
        <f>SUM(CR19:DL19)</f>
        <v>483.864751848147</v>
      </c>
      <c r="DN19" s="321">
        <f>CS19*3/5+CT19*3/5</f>
        <v>10.2019237715535</v>
      </c>
      <c r="DO19" s="321">
        <f>CT19*2/5+CU19*1/5</f>
        <v>5.62673603046521</v>
      </c>
      <c r="DP19" s="321">
        <f>SUM(DE19:DL19)</f>
        <v>288.082589492888</v>
      </c>
      <c r="DQ19" s="321">
        <f>SUM(DG19:DL19)</f>
        <v>180.953004712996</v>
      </c>
      <c r="DR19" s="322">
        <f>DP19/DM19</f>
        <v>0.595378333289501</v>
      </c>
      <c r="DS19" s="322">
        <f>DQ19/DM19</f>
        <v>0.37397434721549</v>
      </c>
      <c r="DT19" s="321">
        <f>SUM(CV19:CY19)</f>
        <v>40.6828577232662</v>
      </c>
      <c r="DU19" s="130"/>
      <c r="DV19" s="11"/>
      <c r="DW19" s="288"/>
      <c r="DX19" s="357"/>
      <c r="DY19" s="358"/>
      <c r="DZ19" s="359"/>
      <c r="EA19" s="359"/>
      <c r="EB19" s="359"/>
      <c r="EC19" s="359"/>
      <c r="ED19" s="359"/>
      <c r="EE19" s="359"/>
      <c r="EF19" s="359"/>
      <c r="EG19" s="359"/>
      <c r="EH19" s="359"/>
      <c r="EI19" s="359"/>
      <c r="EJ19" s="359"/>
      <c r="EK19" s="359"/>
      <c r="EL19" s="359"/>
      <c r="EM19" s="359"/>
      <c r="EN19" s="359"/>
      <c r="EO19" s="359"/>
      <c r="EP19" s="359"/>
      <c r="EQ19" s="359"/>
      <c r="ER19" s="359"/>
      <c r="ES19" s="359"/>
      <c r="ET19" s="359"/>
      <c r="EU19" s="359"/>
      <c r="EV19" s="360"/>
      <c r="EW19" s="360"/>
      <c r="EX19" s="361"/>
      <c r="EY19" s="361"/>
      <c r="EZ19" s="360"/>
      <c r="FA19" s="360"/>
      <c r="FB19" s="360"/>
    </row>
    <row r="20" ht="16" customHeight="1">
      <c r="A20" t="s" s="282">
        <f>B20&amp;"_"&amp;IF(C20="男性",1,IF(C20="女性",2,IF(C20="合計",3)))</f>
        <v>286</v>
      </c>
      <c r="B20" s="327">
        <v>2030</v>
      </c>
      <c r="C20" t="s" s="323">
        <v>236</v>
      </c>
      <c r="D20" s="349"/>
      <c r="E20" s="349"/>
      <c r="F20" s="349"/>
      <c r="G20" s="349"/>
      <c r="H20" s="349"/>
      <c r="I20" s="349"/>
      <c r="J20" s="349"/>
      <c r="K20" s="349"/>
      <c r="L20" s="349"/>
      <c r="M20" s="349"/>
      <c r="N20" s="349"/>
      <c r="O20" s="349"/>
      <c r="P20" s="349"/>
      <c r="Q20" s="349"/>
      <c r="R20" s="349"/>
      <c r="S20" s="349"/>
      <c r="T20" s="349"/>
      <c r="U20" s="349"/>
      <c r="V20" s="349"/>
      <c r="W20" s="349"/>
      <c r="X20" s="349"/>
      <c r="Y20" s="328">
        <f>SUM(D20:X20)</f>
        <v>0</v>
      </c>
      <c r="Z20" s="328">
        <f>E20*3/5+F20*3/5</f>
        <v>0</v>
      </c>
      <c r="AA20" s="328">
        <f>F20*2/5+G20*1/5</f>
        <v>0</v>
      </c>
      <c r="AB20" s="328">
        <f>SUM(Q20:X20)</f>
        <v>0</v>
      </c>
      <c r="AC20" s="328">
        <f>SUM(S20:X20)</f>
        <v>0</v>
      </c>
      <c r="AD20" s="329">
        <f>AB20/Y20</f>
      </c>
      <c r="AE20" s="329">
        <f>AC20/Y20</f>
      </c>
      <c r="AF20" s="328">
        <f>SUM(H20:K20)</f>
        <v>0</v>
      </c>
      <c r="AG20" s="130"/>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t="s" s="294">
        <f>BI20&amp;"_"&amp;IF(BJ20="男性",1,IF(BJ20="女性",2,IF(BJ20="合計",3)))</f>
        <v>312</v>
      </c>
      <c r="BI20" s="327">
        <f>BI19</f>
        <v>2050</v>
      </c>
      <c r="BJ20" t="s" s="323">
        <v>236</v>
      </c>
      <c r="BK20" s="328">
        <f>BK18+BK19</f>
      </c>
      <c r="BL20" s="328">
        <f>BL18+BL19</f>
        <v>14.0891923074541</v>
      </c>
      <c r="BM20" s="328">
        <f>BM18+BM19</f>
        <v>18.3298164483033</v>
      </c>
      <c r="BN20" s="328">
        <f>BN18+BN19</f>
        <v>19.1164547240455</v>
      </c>
      <c r="BO20" s="328">
        <f>BO18+BO19</f>
        <v>18.8504076167302</v>
      </c>
      <c r="BP20" s="328">
        <f>BP18+BP19</f>
        <v>15.1778976938908</v>
      </c>
      <c r="BQ20" s="328">
        <f>BQ18+BQ19</f>
        <v>17.2737195457012</v>
      </c>
      <c r="BR20" s="328">
        <f>BR18+BR19</f>
        <v>23.1313762465195</v>
      </c>
      <c r="BS20" s="328">
        <f>BS18+BS19</f>
        <v>26.6829111194287</v>
      </c>
      <c r="BT20" s="328">
        <f>BT18+BT19</f>
        <v>29.3027699477503</v>
      </c>
      <c r="BU20" s="328">
        <f>BU18+BU19</f>
        <v>33.958977456025</v>
      </c>
      <c r="BV20" s="328">
        <f>BV18+BV19</f>
        <v>55.0532747663631</v>
      </c>
      <c r="BW20" s="328">
        <f>BW18+BW19</f>
        <v>67.5416125634239</v>
      </c>
      <c r="BX20" s="328">
        <f>BX18+BX19</f>
        <v>85.1343210006206</v>
      </c>
      <c r="BY20" s="328">
        <f>BY18+BY19</f>
        <v>124.375176818424</v>
      </c>
      <c r="BZ20" s="328">
        <f>BZ18+BZ19</f>
        <v>87.60372696998679</v>
      </c>
      <c r="CA20" s="328">
        <f>CA18+CA19</f>
        <v>83.47397795113351</v>
      </c>
      <c r="CB20" s="328">
        <f>CB18+CB19</f>
        <v>77.3426436735848</v>
      </c>
      <c r="CC20" s="328">
        <f>CC18+CC19</f>
        <v>54.9114833158836</v>
      </c>
      <c r="CD20" s="328">
        <f>CD18+CD19</f>
        <v>13.0703077663338</v>
      </c>
      <c r="CE20" s="328">
        <f>CE18+CE19</f>
        <v>1.13145947532789</v>
      </c>
      <c r="CF20" s="328">
        <f>SUM(BK20:CE20)</f>
      </c>
      <c r="CG20" s="328">
        <f>BL20*3/5+BM20*3/5</f>
        <v>19.4514052534544</v>
      </c>
      <c r="CH20" s="328">
        <f>BM20*2/5+BN20*1/5</f>
        <v>11.1552175241304</v>
      </c>
      <c r="CI20" s="328">
        <f>SUM(BX20:CE20)</f>
        <v>527.043096971295</v>
      </c>
      <c r="CJ20" s="328">
        <f>SUM(BZ20:CE20)</f>
        <v>317.533599152250</v>
      </c>
      <c r="CK20" s="329">
        <f>CI20/CF20</f>
      </c>
      <c r="CL20" s="329">
        <f>CJ20/CF20</f>
      </c>
      <c r="CM20" s="328">
        <f>SUM(BO20:BR20)</f>
        <v>74.4334011028417</v>
      </c>
      <c r="CN20" s="130"/>
      <c r="CO20" t="s" s="294">
        <f>CP20&amp;"_"&amp;IF(CQ20="男性",1,IF(CQ20="女性",2,IF(CQ20="合計",3)))</f>
        <v>312</v>
      </c>
      <c r="CP20" s="327">
        <f>CP19</f>
        <v>2050</v>
      </c>
      <c r="CQ20" t="s" s="323">
        <v>236</v>
      </c>
      <c r="CR20" s="328">
        <f>CR18+CR19</f>
        <v>14.9013393886961</v>
      </c>
      <c r="CS20" s="328">
        <f>CS18+CS19</f>
        <v>18.1386472638367</v>
      </c>
      <c r="CT20" s="328">
        <f>CT18+CT19</f>
        <v>24.0014459077902</v>
      </c>
      <c r="CU20" s="328">
        <f>CU18+CU19</f>
        <v>23.7026002884329</v>
      </c>
      <c r="CV20" s="328">
        <f>CV18+CV19</f>
        <v>21.9660055871887</v>
      </c>
      <c r="CW20" s="328">
        <f>CW18+CW19</f>
        <v>20.7181134341507</v>
      </c>
      <c r="CX20" s="328">
        <f>CX18+CX19</f>
        <v>21.5310990270689</v>
      </c>
      <c r="CY20" s="328">
        <f>CY18+CY19</f>
        <v>27.1202972356251</v>
      </c>
      <c r="CZ20" s="328">
        <f>CZ18+CZ19</f>
        <v>30.7203155349472</v>
      </c>
      <c r="DA20" s="328">
        <f>DA18+DA19</f>
        <v>33.158926224765</v>
      </c>
      <c r="DB20" s="328">
        <f>DB18+DB19</f>
        <v>37.7360529763884</v>
      </c>
      <c r="DC20" s="328">
        <f>DC18+DC19</f>
        <v>55.975463411698</v>
      </c>
      <c r="DD20" s="328">
        <f>DD18+DD19</f>
        <v>68.4520641987519</v>
      </c>
      <c r="DE20" s="328">
        <f>DE18+DE19</f>
        <v>86.0242818116497</v>
      </c>
      <c r="DF20" s="328">
        <f>DF18+DF19</f>
        <v>124.375176818424</v>
      </c>
      <c r="DG20" s="328">
        <f>DG18+DG19</f>
        <v>87.60372696998679</v>
      </c>
      <c r="DH20" s="328">
        <f>DH18+DH19</f>
        <v>83.47397795113351</v>
      </c>
      <c r="DI20" s="328">
        <f>DI18+DI19</f>
        <v>77.3426436735848</v>
      </c>
      <c r="DJ20" s="328">
        <f>DJ18+DJ19</f>
        <v>54.9114833158836</v>
      </c>
      <c r="DK20" s="328">
        <f>DK18+DK19</f>
        <v>13.0703077663338</v>
      </c>
      <c r="DL20" s="328">
        <f>DL18+DL19</f>
        <v>1.13145947532789</v>
      </c>
      <c r="DM20" s="328">
        <f>SUM(CR20:DL20)</f>
        <v>926.055428261664</v>
      </c>
      <c r="DN20" s="328">
        <f>CS20*3/5+CT20*3/5</f>
        <v>25.2840559029761</v>
      </c>
      <c r="DO20" s="328">
        <f>CT20*2/5+CU20*1/5</f>
        <v>14.3410984208027</v>
      </c>
      <c r="DP20" s="328">
        <f>SUM(DE20:DL20)</f>
        <v>527.933057782324</v>
      </c>
      <c r="DQ20" s="328">
        <f>SUM(DG20:DL20)</f>
        <v>317.533599152250</v>
      </c>
      <c r="DR20" s="329">
        <f>DP20/DM20</f>
        <v>0.570087968463538</v>
      </c>
      <c r="DS20" s="329">
        <f>DQ20/DM20</f>
        <v>0.342888329857647</v>
      </c>
      <c r="DT20" s="328">
        <f>SUM(CV20:CY20)</f>
        <v>91.33551528403341</v>
      </c>
      <c r="DU20" s="130"/>
      <c r="DV20" s="11"/>
      <c r="DW20" s="288"/>
      <c r="DX20" s="312">
        <f>DX3</f>
        <v>2025</v>
      </c>
      <c r="DY20" t="s" s="313">
        <v>107</v>
      </c>
      <c r="DZ20" s="314">
        <f>ROUND(DZ3,0)</f>
      </c>
      <c r="EA20" s="314">
        <f>ROUND(EA3,0)</f>
        <v>30</v>
      </c>
      <c r="EB20" s="314">
        <f>ROUND(EB3,0)</f>
        <v>39</v>
      </c>
      <c r="EC20" s="314">
        <f>ROUND(EC3,0)</f>
        <v>36</v>
      </c>
      <c r="ED20" s="314">
        <f>ROUND(ED3,0)</f>
        <v>36</v>
      </c>
      <c r="EE20" s="314">
        <f>ROUND(EE3,0)</f>
      </c>
      <c r="EF20" s="314">
        <f>ROUND(EF3,0)</f>
      </c>
      <c r="EG20" s="314">
        <f>ROUND(EG3,0)</f>
      </c>
      <c r="EH20" s="314">
        <f>ROUND(EH3,0)</f>
        <v>50</v>
      </c>
      <c r="EI20" s="314">
        <f>ROUND(EI3,0)</f>
        <v>75</v>
      </c>
      <c r="EJ20" s="314">
        <f>ROUND(EJ3,0)</f>
        <v>68</v>
      </c>
      <c r="EK20" s="314">
        <f>ROUND(EK3,0)</f>
        <v>61</v>
      </c>
      <c r="EL20" s="314">
        <f>ROUND(EL3,0)</f>
        <v>81</v>
      </c>
      <c r="EM20" s="314">
        <f>ROUND(EM3,0)</f>
        <v>150</v>
      </c>
      <c r="EN20" s="314">
        <f>ROUND(EN3,0)</f>
        <v>140</v>
      </c>
      <c r="EO20" s="314">
        <f>ROUND(EO3,0)</f>
        <v>146</v>
      </c>
      <c r="EP20" s="314">
        <f>ROUND(EP3,0)</f>
        <v>95</v>
      </c>
      <c r="EQ20" s="314">
        <f>ROUND(EQ3,0)</f>
        <v>74</v>
      </c>
      <c r="ER20" s="314">
        <f>ROUND(ER3,0)</f>
        <v>33</v>
      </c>
      <c r="ES20" s="314">
        <f>ROUND(ES3,0)</f>
        <v>6</v>
      </c>
      <c r="ET20" s="314">
        <f>ROUND(ET3,0)</f>
        <v>0</v>
      </c>
      <c r="EU20" s="314">
        <f>SUM(DZ20:ET20)</f>
      </c>
      <c r="EV20" s="314">
        <f>EA20*3/5+EB20*3/5</f>
        <v>41.4</v>
      </c>
      <c r="EW20" s="314">
        <f>EB20*2/5+EC20*1/5</f>
        <v>22.8</v>
      </c>
      <c r="EX20" s="314">
        <f>SUM(EM20:ET20)</f>
        <v>644</v>
      </c>
      <c r="EY20" s="314">
        <f>SUM(EO20:ET20)</f>
        <v>354</v>
      </c>
      <c r="EZ20" s="315">
        <f>EX20/EU20</f>
      </c>
      <c r="FA20" s="315">
        <f>EY20/EU20</f>
      </c>
      <c r="FB20" s="314">
        <f>SUM(ED20:EG20)</f>
      </c>
    </row>
    <row r="21" ht="16" customHeight="1">
      <c r="A21" s="10"/>
      <c r="B21" t="s" s="362">
        <v>288</v>
      </c>
      <c r="C21" s="196"/>
      <c r="D21" s="334">
        <v>4</v>
      </c>
      <c r="E21" s="334">
        <v>5</v>
      </c>
      <c r="F21" s="334">
        <v>6</v>
      </c>
      <c r="G21" s="334">
        <v>7</v>
      </c>
      <c r="H21" s="334">
        <v>8</v>
      </c>
      <c r="I21" s="334">
        <v>9</v>
      </c>
      <c r="J21" s="334">
        <v>10</v>
      </c>
      <c r="K21" s="334">
        <v>11</v>
      </c>
      <c r="L21" s="334">
        <v>12</v>
      </c>
      <c r="M21" s="334">
        <v>13</v>
      </c>
      <c r="N21" s="334">
        <v>14</v>
      </c>
      <c r="O21" s="334">
        <v>15</v>
      </c>
      <c r="P21" s="334">
        <v>16</v>
      </c>
      <c r="Q21" s="334">
        <v>17</v>
      </c>
      <c r="R21" s="334">
        <v>18</v>
      </c>
      <c r="S21" s="334">
        <v>19</v>
      </c>
      <c r="T21" s="334">
        <v>20</v>
      </c>
      <c r="U21" s="334">
        <v>21</v>
      </c>
      <c r="V21" s="334">
        <v>22</v>
      </c>
      <c r="W21" s="334">
        <v>23</v>
      </c>
      <c r="X21" s="334">
        <v>24</v>
      </c>
      <c r="Y21" s="196"/>
      <c r="Z21" s="196"/>
      <c r="AA21" s="196"/>
      <c r="AB21" s="196"/>
      <c r="AC21" s="196"/>
      <c r="AD21" s="196"/>
      <c r="AE21" s="196"/>
      <c r="AF21" s="196"/>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363"/>
      <c r="BJ21" t="s" s="333">
        <v>288</v>
      </c>
      <c r="BK21" s="196"/>
      <c r="BL21" s="334">
        <v>4</v>
      </c>
      <c r="BM21" s="334">
        <v>5</v>
      </c>
      <c r="BN21" s="334">
        <v>6</v>
      </c>
      <c r="BO21" s="334">
        <v>7</v>
      </c>
      <c r="BP21" s="334">
        <v>8</v>
      </c>
      <c r="BQ21" s="334">
        <v>9</v>
      </c>
      <c r="BR21" s="334">
        <v>10</v>
      </c>
      <c r="BS21" s="334">
        <v>11</v>
      </c>
      <c r="BT21" s="334">
        <v>12</v>
      </c>
      <c r="BU21" s="334">
        <v>13</v>
      </c>
      <c r="BV21" s="334">
        <v>14</v>
      </c>
      <c r="BW21" s="334">
        <v>15</v>
      </c>
      <c r="BX21" s="334">
        <v>16</v>
      </c>
      <c r="BY21" s="334">
        <v>17</v>
      </c>
      <c r="BZ21" s="334">
        <v>18</v>
      </c>
      <c r="CA21" s="334">
        <v>19</v>
      </c>
      <c r="CB21" s="334">
        <v>20</v>
      </c>
      <c r="CC21" s="334">
        <v>21</v>
      </c>
      <c r="CD21" s="334">
        <v>22</v>
      </c>
      <c r="CE21" s="334">
        <v>23</v>
      </c>
      <c r="CF21" s="364"/>
      <c r="CG21" s="364"/>
      <c r="CH21" s="364"/>
      <c r="CI21" s="364"/>
      <c r="CJ21" s="364"/>
      <c r="CK21" s="365"/>
      <c r="CL21" s="365"/>
      <c r="CM21" s="364"/>
      <c r="CN21" s="11"/>
      <c r="CO21" s="11"/>
      <c r="CP21" s="366"/>
      <c r="CQ21" s="196"/>
      <c r="CR21" s="196"/>
      <c r="CS21" s="196"/>
      <c r="CT21" s="196"/>
      <c r="CU21" s="196"/>
      <c r="CV21" s="196"/>
      <c r="CW21" s="196"/>
      <c r="CX21" s="196"/>
      <c r="CY21" s="196"/>
      <c r="CZ21" s="196"/>
      <c r="DA21" s="196"/>
      <c r="DB21" s="196"/>
      <c r="DC21" s="196"/>
      <c r="DD21" s="196"/>
      <c r="DE21" s="196"/>
      <c r="DF21" s="196"/>
      <c r="DG21" s="196"/>
      <c r="DH21" s="196"/>
      <c r="DI21" s="196"/>
      <c r="DJ21" s="196"/>
      <c r="DK21" s="196"/>
      <c r="DL21" s="196"/>
      <c r="DM21" s="364"/>
      <c r="DN21" s="364"/>
      <c r="DO21" s="364"/>
      <c r="DP21" s="364"/>
      <c r="DQ21" s="364"/>
      <c r="DR21" s="365"/>
      <c r="DS21" s="365"/>
      <c r="DT21" s="364"/>
      <c r="DU21" s="11"/>
      <c r="DV21" s="11"/>
      <c r="DW21" s="288"/>
      <c r="DX21" s="319">
        <f>DX20</f>
        <v>2025</v>
      </c>
      <c r="DY21" t="s" s="320">
        <v>108</v>
      </c>
      <c r="DZ21" s="321">
        <f>ROUND(DZ4,0)</f>
      </c>
      <c r="EA21" s="321">
        <f>ROUND(EA4,0)</f>
        <v>21</v>
      </c>
      <c r="EB21" s="321">
        <f>ROUND(EB4,0)</f>
        <v>31</v>
      </c>
      <c r="EC21" s="321">
        <f>ROUND(EC4,0)</f>
        <v>37</v>
      </c>
      <c r="ED21" s="321">
        <f>ROUND(ED4,0)</f>
        <v>26</v>
      </c>
      <c r="EE21" s="321">
        <f>ROUND(EE4,0)</f>
      </c>
      <c r="EF21" s="321">
        <f>ROUND(EF4,0)</f>
      </c>
      <c r="EG21" s="321">
        <f>ROUND(EG4,0)</f>
      </c>
      <c r="EH21" s="321">
        <f>ROUND(EH4,0)</f>
        <v>47</v>
      </c>
      <c r="EI21" s="321">
        <f>ROUND(EI4,0)</f>
        <v>71</v>
      </c>
      <c r="EJ21" s="321">
        <f>ROUND(EJ4,0)</f>
        <v>49</v>
      </c>
      <c r="EK21" s="321">
        <f>ROUND(EK4,0)</f>
        <v>72</v>
      </c>
      <c r="EL21" s="321">
        <f>ROUND(EL4,0)</f>
        <v>100</v>
      </c>
      <c r="EM21" s="321">
        <f>ROUND(EM4,0)</f>
        <v>130</v>
      </c>
      <c r="EN21" s="321">
        <f>ROUND(EN4,0)</f>
        <v>152</v>
      </c>
      <c r="EO21" s="321">
        <f>ROUND(EO4,0)</f>
        <v>167</v>
      </c>
      <c r="EP21" s="321">
        <f>ROUND(EP4,0)</f>
        <v>121</v>
      </c>
      <c r="EQ21" s="321">
        <f>ROUND(EQ4,0)</f>
        <v>108</v>
      </c>
      <c r="ER21" s="321">
        <f>ROUND(ER4,0)</f>
        <v>59</v>
      </c>
      <c r="ES21" s="321">
        <f>ROUND(ES4,0)</f>
        <v>12</v>
      </c>
      <c r="ET21" s="321">
        <f>ROUND(ET4,0)</f>
        <v>2</v>
      </c>
      <c r="EU21" s="321">
        <f>SUM(DZ21:ET21)</f>
      </c>
      <c r="EV21" s="321">
        <f>EA21*3/5+EB21*3/5</f>
        <v>31.2</v>
      </c>
      <c r="EW21" s="321">
        <f>EB21*2/5+EC21*1/5</f>
        <v>19.8</v>
      </c>
      <c r="EX21" s="321">
        <f>SUM(EM21:ET21)</f>
        <v>751</v>
      </c>
      <c r="EY21" s="321">
        <f>SUM(EO21:ET21)</f>
        <v>469</v>
      </c>
      <c r="EZ21" s="322">
        <f>EX21/EU21</f>
      </c>
      <c r="FA21" s="322">
        <f>EY21/EU21</f>
      </c>
      <c r="FB21" s="321">
        <f>SUM(ED21:EG21)</f>
      </c>
    </row>
    <row r="22" ht="16" customHeight="1">
      <c r="A22" s="10"/>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88"/>
      <c r="BJ22" s="11"/>
      <c r="BK22" s="11"/>
      <c r="BL22" s="11"/>
      <c r="BM22" s="11"/>
      <c r="BN22" s="11"/>
      <c r="BO22" s="11"/>
      <c r="BP22" s="11"/>
      <c r="BQ22" s="11"/>
      <c r="BR22" s="11"/>
      <c r="BS22" s="11"/>
      <c r="BT22" s="11"/>
      <c r="BU22" s="11"/>
      <c r="BV22" s="11"/>
      <c r="BW22" s="11"/>
      <c r="BX22" s="11"/>
      <c r="BY22" s="11"/>
      <c r="BZ22" s="11"/>
      <c r="CA22" s="11"/>
      <c r="CB22" s="11"/>
      <c r="CC22" s="11"/>
      <c r="CD22" s="11"/>
      <c r="CE22" s="11"/>
      <c r="CF22" s="70"/>
      <c r="CG22" s="70"/>
      <c r="CH22" s="70"/>
      <c r="CI22" s="70"/>
      <c r="CJ22" s="70"/>
      <c r="CK22" s="367"/>
      <c r="CL22" s="367"/>
      <c r="CM22" s="70"/>
      <c r="CN22" s="11"/>
      <c r="CO22" s="11"/>
      <c r="CP22" s="88"/>
      <c r="CQ22" s="11"/>
      <c r="CR22" s="11"/>
      <c r="CS22" s="11"/>
      <c r="CT22" s="11"/>
      <c r="CU22" s="11"/>
      <c r="CV22" s="11"/>
      <c r="CW22" s="11"/>
      <c r="CX22" s="11"/>
      <c r="CY22" s="11"/>
      <c r="CZ22" s="11"/>
      <c r="DA22" s="11"/>
      <c r="DB22" s="11"/>
      <c r="DC22" s="11"/>
      <c r="DD22" s="11"/>
      <c r="DE22" s="11"/>
      <c r="DF22" s="11"/>
      <c r="DG22" s="11"/>
      <c r="DH22" s="11"/>
      <c r="DI22" s="11"/>
      <c r="DJ22" s="11"/>
      <c r="DK22" s="11"/>
      <c r="DL22" s="11"/>
      <c r="DM22" s="70"/>
      <c r="DN22" s="70"/>
      <c r="DO22" s="70"/>
      <c r="DP22" s="70"/>
      <c r="DQ22" s="70"/>
      <c r="DR22" s="367"/>
      <c r="DS22" s="367"/>
      <c r="DT22" s="70"/>
      <c r="DU22" s="11"/>
      <c r="DV22" s="11"/>
      <c r="DW22" s="288"/>
      <c r="DX22" s="327">
        <f>DX21</f>
        <v>2025</v>
      </c>
      <c r="DY22" t="s" s="323">
        <v>236</v>
      </c>
      <c r="DZ22" s="328">
        <f>DZ20+DZ21</f>
      </c>
      <c r="EA22" s="328">
        <f>EA20+EA21</f>
        <v>51</v>
      </c>
      <c r="EB22" s="328">
        <f>EB20+EB21</f>
        <v>70</v>
      </c>
      <c r="EC22" s="328">
        <f>EC20+EC21</f>
        <v>73</v>
      </c>
      <c r="ED22" s="328">
        <f>ED20+ED21</f>
        <v>62</v>
      </c>
      <c r="EE22" s="328">
        <f>EE20+EE21</f>
      </c>
      <c r="EF22" s="328">
        <f>EF20+EF21</f>
      </c>
      <c r="EG22" s="328">
        <f>EG20+EG21</f>
      </c>
      <c r="EH22" s="328">
        <f>EH20+EH21</f>
        <v>97</v>
      </c>
      <c r="EI22" s="328">
        <f>EI20+EI21</f>
        <v>146</v>
      </c>
      <c r="EJ22" s="328">
        <f>EJ20+EJ21</f>
        <v>117</v>
      </c>
      <c r="EK22" s="328">
        <f>EK20+EK21</f>
        <v>133</v>
      </c>
      <c r="EL22" s="328">
        <f>EL20+EL21</f>
        <v>181</v>
      </c>
      <c r="EM22" s="328">
        <f>EM20+EM21</f>
        <v>280</v>
      </c>
      <c r="EN22" s="328">
        <f>EN20+EN21</f>
        <v>292</v>
      </c>
      <c r="EO22" s="328">
        <f>EO20+EO21</f>
        <v>313</v>
      </c>
      <c r="EP22" s="328">
        <f>EP20+EP21</f>
        <v>216</v>
      </c>
      <c r="EQ22" s="328">
        <f>EQ20+EQ21</f>
        <v>182</v>
      </c>
      <c r="ER22" s="328">
        <f>ER20+ER21</f>
        <v>92</v>
      </c>
      <c r="ES22" s="328">
        <f>ES20+ES21</f>
        <v>18</v>
      </c>
      <c r="ET22" s="328">
        <f>ET20+ET21</f>
        <v>2</v>
      </c>
      <c r="EU22" s="328">
        <f>SUM(DZ22:ET22)</f>
      </c>
      <c r="EV22" s="328">
        <f>EA22*3/5+EB22*3/5</f>
        <v>72.59999999999999</v>
      </c>
      <c r="EW22" s="328">
        <f>EB22*2/5+EC22*1/5</f>
        <v>42.6</v>
      </c>
      <c r="EX22" s="328">
        <f>SUM(EM22:ET22)</f>
        <v>1395</v>
      </c>
      <c r="EY22" s="328">
        <f>SUM(EO22:ET22)</f>
        <v>823</v>
      </c>
      <c r="EZ22" s="329">
        <f>EX22/EU22</f>
      </c>
      <c r="FA22" s="329">
        <f>EY22/EU22</f>
      </c>
      <c r="FB22" s="328">
        <f>SUM(ED22:EG22)</f>
      </c>
    </row>
    <row r="23" ht="16" customHeight="1">
      <c r="A23" s="10"/>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88"/>
      <c r="BJ23" s="11"/>
      <c r="BK23" s="11"/>
      <c r="BL23" s="11"/>
      <c r="BM23" s="11"/>
      <c r="BN23" s="11"/>
      <c r="BO23" s="11"/>
      <c r="BP23" s="11"/>
      <c r="BQ23" s="11"/>
      <c r="BR23" s="11"/>
      <c r="BS23" s="11"/>
      <c r="BT23" s="11"/>
      <c r="BU23" s="11"/>
      <c r="BV23" s="11"/>
      <c r="BW23" s="11"/>
      <c r="BX23" s="11"/>
      <c r="BY23" s="11"/>
      <c r="BZ23" s="11"/>
      <c r="CA23" s="11"/>
      <c r="CB23" s="11"/>
      <c r="CC23" s="11"/>
      <c r="CD23" s="11"/>
      <c r="CE23" s="11"/>
      <c r="CF23" s="70"/>
      <c r="CG23" s="70"/>
      <c r="CH23" s="70"/>
      <c r="CI23" s="70"/>
      <c r="CJ23" s="70"/>
      <c r="CK23" s="367"/>
      <c r="CL23" s="367"/>
      <c r="CM23" s="70"/>
      <c r="CN23" s="11"/>
      <c r="CO23" s="11"/>
      <c r="CP23" s="88"/>
      <c r="CQ23" s="11"/>
      <c r="CR23" s="11"/>
      <c r="CS23" s="11"/>
      <c r="CT23" s="11"/>
      <c r="CU23" s="11"/>
      <c r="CV23" s="11"/>
      <c r="CW23" s="11"/>
      <c r="CX23" s="11"/>
      <c r="CY23" s="11"/>
      <c r="CZ23" s="11"/>
      <c r="DA23" s="11"/>
      <c r="DB23" s="11"/>
      <c r="DC23" s="11"/>
      <c r="DD23" s="11"/>
      <c r="DE23" s="11"/>
      <c r="DF23" s="11"/>
      <c r="DG23" s="11"/>
      <c r="DH23" s="11"/>
      <c r="DI23" s="11"/>
      <c r="DJ23" s="11"/>
      <c r="DK23" s="11"/>
      <c r="DL23" s="11"/>
      <c r="DM23" s="70"/>
      <c r="DN23" s="70"/>
      <c r="DO23" s="70"/>
      <c r="DP23" s="70"/>
      <c r="DQ23" s="70"/>
      <c r="DR23" s="367"/>
      <c r="DS23" s="367"/>
      <c r="DT23" s="70"/>
      <c r="DU23" s="11"/>
      <c r="DV23" s="11"/>
      <c r="DW23" s="288"/>
      <c r="DX23" s="312">
        <f>DX6</f>
        <v>2030</v>
      </c>
      <c r="DY23" t="s" s="313">
        <v>107</v>
      </c>
      <c r="DZ23" s="314">
        <f>ROUND(DZ6,0)</f>
      </c>
      <c r="EA23" s="314">
        <f>ROUND(EA6,0)</f>
        <v>24</v>
      </c>
      <c r="EB23" s="314">
        <f>ROUND(EB6,0)</f>
        <v>31</v>
      </c>
      <c r="EC23" s="314">
        <f>ROUND(EC6,0)</f>
        <v>32</v>
      </c>
      <c r="ED23" s="314">
        <f>ROUND(ED6,0)</f>
        <v>32</v>
      </c>
      <c r="EE23" s="314">
        <f>ROUND(EE6,0)</f>
        <v>84</v>
      </c>
      <c r="EF23" s="314">
        <f>ROUND(EF6,0)</f>
        <v>149</v>
      </c>
      <c r="EG23" s="314">
        <f>ROUND(EG6,0)</f>
        <v>170</v>
      </c>
      <c r="EH23" s="314">
        <f>ROUND(EH6,0)</f>
        <v>92</v>
      </c>
      <c r="EI23" s="314">
        <f>ROUND(EI6,0)</f>
        <v>49</v>
      </c>
      <c r="EJ23" s="314">
        <f>ROUND(EJ6,0)</f>
        <v>73</v>
      </c>
      <c r="EK23" s="314">
        <f>ROUND(EK6,0)</f>
        <v>66</v>
      </c>
      <c r="EL23" s="314">
        <f>ROUND(EL6,0)</f>
        <v>61</v>
      </c>
      <c r="EM23" s="314">
        <f>ROUND(EM6,0)</f>
        <v>76</v>
      </c>
      <c r="EN23" s="314">
        <f>ROUND(EN6,0)</f>
        <v>137</v>
      </c>
      <c r="EO23" s="314">
        <f>ROUND(EO6,0)</f>
        <v>116</v>
      </c>
      <c r="EP23" s="314">
        <f>ROUND(EP6,0)</f>
        <v>116</v>
      </c>
      <c r="EQ23" s="314">
        <f>ROUND(EQ6,0)</f>
        <v>59</v>
      </c>
      <c r="ER23" s="314">
        <f>ROUND(ER6,0)</f>
        <v>30</v>
      </c>
      <c r="ES23" s="314">
        <f>ROUND(ES6,0)</f>
        <v>6</v>
      </c>
      <c r="ET23" s="314">
        <f>ROUND(ET6,0)</f>
        <v>0</v>
      </c>
      <c r="EU23" s="314">
        <f>SUM(DZ23:ET23)</f>
      </c>
      <c r="EV23" s="314">
        <f>EA23*3/5+EB23*3/5</f>
        <v>33</v>
      </c>
      <c r="EW23" s="314">
        <f>EB23*2/5+EC23*1/5</f>
        <v>18.8</v>
      </c>
      <c r="EX23" s="314">
        <f>SUM(EM23:ET23)</f>
        <v>540</v>
      </c>
      <c r="EY23" s="314">
        <f>SUM(EO23:ET23)</f>
        <v>327</v>
      </c>
      <c r="EZ23" s="315">
        <f>EX23/EU23</f>
      </c>
      <c r="FA23" s="315">
        <f>EY23/EU23</f>
      </c>
      <c r="FB23" s="314">
        <f>SUM(ED23:EG23)</f>
        <v>435</v>
      </c>
    </row>
    <row r="24" ht="16" customHeight="1">
      <c r="A24" s="10"/>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88"/>
      <c r="BJ24" s="11"/>
      <c r="BK24" s="11"/>
      <c r="BL24" s="11"/>
      <c r="BM24" s="11"/>
      <c r="BN24" s="11"/>
      <c r="BO24" s="11"/>
      <c r="BP24" s="11"/>
      <c r="BQ24" s="11"/>
      <c r="BR24" s="11"/>
      <c r="BS24" s="11"/>
      <c r="BT24" s="11"/>
      <c r="BU24" s="11"/>
      <c r="BV24" s="11"/>
      <c r="BW24" s="11"/>
      <c r="BX24" s="11"/>
      <c r="BY24" s="11"/>
      <c r="BZ24" s="11"/>
      <c r="CA24" s="11"/>
      <c r="CB24" s="11"/>
      <c r="CC24" s="11"/>
      <c r="CD24" s="11"/>
      <c r="CE24" s="11"/>
      <c r="CF24" s="70"/>
      <c r="CG24" s="70"/>
      <c r="CH24" s="70"/>
      <c r="CI24" s="70"/>
      <c r="CJ24" s="70"/>
      <c r="CK24" s="367"/>
      <c r="CL24" s="367"/>
      <c r="CM24" s="70"/>
      <c r="CN24" s="11"/>
      <c r="CO24" s="11"/>
      <c r="CP24" s="88"/>
      <c r="CQ24" s="11"/>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367"/>
      <c r="DS24" s="367"/>
      <c r="DT24" s="70"/>
      <c r="DU24" s="11"/>
      <c r="DV24" s="11"/>
      <c r="DW24" s="288"/>
      <c r="DX24" s="319">
        <f>DX23</f>
        <v>2030</v>
      </c>
      <c r="DY24" t="s" s="320">
        <v>108</v>
      </c>
      <c r="DZ24" s="321">
        <f>ROUND(DZ7,0)</f>
      </c>
      <c r="EA24" s="321">
        <f>ROUND(EA7,0)</f>
        <v>17</v>
      </c>
      <c r="EB24" s="321">
        <f>ROUND(EB7,0)</f>
        <v>19</v>
      </c>
      <c r="EC24" s="321">
        <f>ROUND(EC7,0)</f>
        <v>26</v>
      </c>
      <c r="ED24" s="321">
        <f>ROUND(ED7,0)</f>
        <v>22</v>
      </c>
      <c r="EE24" s="321">
        <f>ROUND(EE7,0)</f>
        <v>92</v>
      </c>
      <c r="EF24" s="321">
        <f>ROUND(EF7,0)</f>
        <v>150</v>
      </c>
      <c r="EG24" s="321">
        <f>ROUND(EG7,0)</f>
        <v>159</v>
      </c>
      <c r="EH24" s="321">
        <f>ROUND(EH7,0)</f>
        <v>106</v>
      </c>
      <c r="EI24" s="321">
        <f>ROUND(EI7,0)</f>
        <v>44</v>
      </c>
      <c r="EJ24" s="321">
        <f>ROUND(EJ7,0)</f>
        <v>70</v>
      </c>
      <c r="EK24" s="321">
        <f>ROUND(EK7,0)</f>
        <v>49</v>
      </c>
      <c r="EL24" s="321">
        <f>ROUND(EL7,0)</f>
        <v>71</v>
      </c>
      <c r="EM24" s="321">
        <f>ROUND(EM7,0)</f>
        <v>97</v>
      </c>
      <c r="EN24" s="321">
        <f>ROUND(EN7,0)</f>
        <v>123</v>
      </c>
      <c r="EO24" s="321">
        <f>ROUND(EO7,0)</f>
        <v>138</v>
      </c>
      <c r="EP24" s="321">
        <f>ROUND(EP7,0)</f>
        <v>136</v>
      </c>
      <c r="EQ24" s="321">
        <f>ROUND(EQ7,0)</f>
        <v>87</v>
      </c>
      <c r="ER24" s="321">
        <f>ROUND(ER7,0)</f>
        <v>53</v>
      </c>
      <c r="ES24" s="321">
        <f>ROUND(ES7,0)</f>
        <v>13</v>
      </c>
      <c r="ET24" s="321">
        <f>ROUND(ET7,0)</f>
        <v>1</v>
      </c>
      <c r="EU24" s="321">
        <f>SUM(DZ24:ET24)</f>
      </c>
      <c r="EV24" s="321">
        <f>EA24*3/5+EB24*3/5</f>
        <v>21.6</v>
      </c>
      <c r="EW24" s="321">
        <f>EB24*2/5+EC24*1/5</f>
        <v>12.8</v>
      </c>
      <c r="EX24" s="321">
        <f>SUM(EM24:ET24)</f>
        <v>648</v>
      </c>
      <c r="EY24" s="321">
        <f>SUM(EO24:ET24)</f>
        <v>428</v>
      </c>
      <c r="EZ24" s="322">
        <f>EX24/EU24</f>
      </c>
      <c r="FA24" s="322">
        <f>EY24/EU24</f>
      </c>
      <c r="FB24" s="321">
        <f>SUM(ED24:EG24)</f>
        <v>423</v>
      </c>
    </row>
    <row r="25" ht="16" customHeight="1">
      <c r="A25" s="10"/>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88"/>
      <c r="BJ25" s="11"/>
      <c r="BK25" s="11"/>
      <c r="BL25" s="11"/>
      <c r="BM25" s="11"/>
      <c r="BN25" s="11"/>
      <c r="BO25" s="11"/>
      <c r="BP25" s="11"/>
      <c r="BQ25" s="11"/>
      <c r="BR25" s="11"/>
      <c r="BS25" s="11"/>
      <c r="BT25" s="11"/>
      <c r="BU25" s="11"/>
      <c r="BV25" s="11"/>
      <c r="BW25" s="11"/>
      <c r="BX25" s="11"/>
      <c r="BY25" s="11"/>
      <c r="BZ25" s="11"/>
      <c r="CA25" s="11"/>
      <c r="CB25" s="11"/>
      <c r="CC25" s="11"/>
      <c r="CD25" s="11"/>
      <c r="CE25" s="11"/>
      <c r="CF25" s="70"/>
      <c r="CG25" s="70"/>
      <c r="CH25" s="70"/>
      <c r="CI25" s="70"/>
      <c r="CJ25" s="70"/>
      <c r="CK25" s="367"/>
      <c r="CL25" s="367"/>
      <c r="CM25" s="70"/>
      <c r="CN25" s="11"/>
      <c r="CO25" s="11"/>
      <c r="CP25" s="88"/>
      <c r="CQ25" s="11"/>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367"/>
      <c r="DS25" s="367"/>
      <c r="DT25" s="70"/>
      <c r="DU25" s="11"/>
      <c r="DV25" s="11"/>
      <c r="DW25" s="288"/>
      <c r="DX25" s="327">
        <f>DX24</f>
        <v>2030</v>
      </c>
      <c r="DY25" t="s" s="323">
        <v>236</v>
      </c>
      <c r="DZ25" s="328">
        <f>DZ23+DZ24</f>
      </c>
      <c r="EA25" s="328">
        <f>EA23+EA24</f>
        <v>41</v>
      </c>
      <c r="EB25" s="328">
        <f>EB23+EB24</f>
        <v>50</v>
      </c>
      <c r="EC25" s="328">
        <f>EC23+EC24</f>
        <v>58</v>
      </c>
      <c r="ED25" s="328">
        <f>ED23+ED24</f>
        <v>54</v>
      </c>
      <c r="EE25" s="328">
        <f>EE23+EE24</f>
        <v>176</v>
      </c>
      <c r="EF25" s="328">
        <f>EF23+EF24</f>
        <v>299</v>
      </c>
      <c r="EG25" s="328">
        <f>EG23+EG24</f>
        <v>329</v>
      </c>
      <c r="EH25" s="328">
        <f>EH23+EH24</f>
        <v>198</v>
      </c>
      <c r="EI25" s="328">
        <f>EI23+EI24</f>
        <v>93</v>
      </c>
      <c r="EJ25" s="328">
        <f>EJ23+EJ24</f>
        <v>143</v>
      </c>
      <c r="EK25" s="328">
        <f>EK23+EK24</f>
        <v>115</v>
      </c>
      <c r="EL25" s="328">
        <f>EL23+EL24</f>
        <v>132</v>
      </c>
      <c r="EM25" s="328">
        <f>EM23+EM24</f>
        <v>173</v>
      </c>
      <c r="EN25" s="328">
        <f>EN23+EN24</f>
        <v>260</v>
      </c>
      <c r="EO25" s="328">
        <f>EO23+EO24</f>
        <v>254</v>
      </c>
      <c r="EP25" s="328">
        <f>EP23+EP24</f>
        <v>252</v>
      </c>
      <c r="EQ25" s="328">
        <f>EQ23+EQ24</f>
        <v>146</v>
      </c>
      <c r="ER25" s="328">
        <f>ER23+ER24</f>
        <v>83</v>
      </c>
      <c r="ES25" s="328">
        <f>ES23+ES24</f>
        <v>19</v>
      </c>
      <c r="ET25" s="328">
        <f>ET23+ET24</f>
        <v>1</v>
      </c>
      <c r="EU25" s="328">
        <f>SUM(DZ25:ET25)</f>
      </c>
      <c r="EV25" s="328">
        <f>EA25*3/5+EB25*3/5</f>
        <v>54.6</v>
      </c>
      <c r="EW25" s="328">
        <f>EB25*2/5+EC25*1/5</f>
        <v>31.6</v>
      </c>
      <c r="EX25" s="328">
        <f>SUM(EM25:ET25)</f>
        <v>1188</v>
      </c>
      <c r="EY25" s="328">
        <f>SUM(EO25:ET25)</f>
        <v>755</v>
      </c>
      <c r="EZ25" s="329">
        <f>EX25/EU25</f>
      </c>
      <c r="FA25" s="329">
        <f>EY25/EU25</f>
      </c>
      <c r="FB25" s="328">
        <f>SUM(ED25:EG25)</f>
        <v>858</v>
      </c>
    </row>
    <row r="26" ht="16" customHeight="1">
      <c r="A26" s="10"/>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88"/>
      <c r="BJ26" s="11"/>
      <c r="BK26" s="11"/>
      <c r="BL26" s="11"/>
      <c r="BM26" s="11"/>
      <c r="BN26" s="11"/>
      <c r="BO26" s="11"/>
      <c r="BP26" s="11"/>
      <c r="BQ26" s="11"/>
      <c r="BR26" s="11"/>
      <c r="BS26" s="11"/>
      <c r="BT26" s="11"/>
      <c r="BU26" s="11"/>
      <c r="BV26" s="11"/>
      <c r="BW26" s="11"/>
      <c r="BX26" s="11"/>
      <c r="BY26" s="11"/>
      <c r="BZ26" s="11"/>
      <c r="CA26" s="11"/>
      <c r="CB26" s="11"/>
      <c r="CC26" s="11"/>
      <c r="CD26" s="11"/>
      <c r="CE26" s="11"/>
      <c r="CF26" s="70"/>
      <c r="CG26" s="70"/>
      <c r="CH26" s="70"/>
      <c r="CI26" s="70"/>
      <c r="CJ26" s="70"/>
      <c r="CK26" s="367"/>
      <c r="CL26" s="367"/>
      <c r="CM26" s="70"/>
      <c r="CN26" s="11"/>
      <c r="CO26" s="11"/>
      <c r="CP26" s="88"/>
      <c r="CQ26" s="11"/>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367"/>
      <c r="DS26" s="367"/>
      <c r="DT26" s="70"/>
      <c r="DU26" s="11"/>
      <c r="DV26" s="11"/>
      <c r="DW26" s="288"/>
      <c r="DX26" s="312">
        <f>DX9</f>
        <v>2035</v>
      </c>
      <c r="DY26" t="s" s="313">
        <v>107</v>
      </c>
      <c r="DZ26" s="314">
        <f>ROUND(DZ9,0)</f>
      </c>
      <c r="EA26" s="314">
        <f>ROUND(EA9,0)</f>
        <v>75</v>
      </c>
      <c r="EB26" s="314">
        <f>ROUND(EB9,0)</f>
        <v>24</v>
      </c>
      <c r="EC26" s="314">
        <f>ROUND(EC9,0)</f>
        <v>26</v>
      </c>
      <c r="ED26" s="314">
        <f>ROUND(ED9,0)</f>
        <v>29</v>
      </c>
      <c r="EE26" s="314">
        <f>ROUND(EE9,0)</f>
        <v>82</v>
      </c>
      <c r="EF26" s="314">
        <f>ROUND(EF9,0)</f>
        <v>144</v>
      </c>
      <c r="EG26" s="314">
        <f>ROUND(EG9,0)</f>
        <v>213</v>
      </c>
      <c r="EH26" s="314">
        <f>ROUND(EH9,0)</f>
        <v>156</v>
      </c>
      <c r="EI26" s="314">
        <f>ROUND(EI9,0)</f>
        <v>91</v>
      </c>
      <c r="EJ26" s="314">
        <f>ROUND(EJ9,0)</f>
        <v>48</v>
      </c>
      <c r="EK26" s="314">
        <f>ROUND(EK9,0)</f>
        <v>71</v>
      </c>
      <c r="EL26" s="314">
        <f>ROUND(EL9,0)</f>
        <v>65</v>
      </c>
      <c r="EM26" s="314">
        <f>ROUND(EM9,0)</f>
        <v>57</v>
      </c>
      <c r="EN26" s="314">
        <f>ROUND(EN9,0)</f>
        <v>69</v>
      </c>
      <c r="EO26" s="314">
        <f>ROUND(EO9,0)</f>
        <v>114</v>
      </c>
      <c r="EP26" s="314">
        <f>ROUND(EP9,0)</f>
        <v>93</v>
      </c>
      <c r="EQ26" s="314">
        <f>ROUND(EQ9,0)</f>
        <v>71</v>
      </c>
      <c r="ER26" s="314">
        <f>ROUND(ER9,0)</f>
        <v>24</v>
      </c>
      <c r="ES26" s="314">
        <f>ROUND(ES9,0)</f>
        <v>6</v>
      </c>
      <c r="ET26" s="314">
        <f>ROUND(ET9,0)</f>
        <v>0</v>
      </c>
      <c r="EU26" s="314">
        <f>SUM(DZ26:ET26)</f>
      </c>
      <c r="EV26" s="314">
        <f>EA26*3/5+EB26*3/5</f>
        <v>59.4</v>
      </c>
      <c r="EW26" s="314">
        <f>EB26*2/5+EC26*1/5</f>
        <v>14.8</v>
      </c>
      <c r="EX26" s="314">
        <f>SUM(EM26:ET26)</f>
        <v>434</v>
      </c>
      <c r="EY26" s="314">
        <f>SUM(EO26:ET26)</f>
        <v>308</v>
      </c>
      <c r="EZ26" s="315">
        <f>EX26/EU26</f>
      </c>
      <c r="FA26" s="315">
        <f>EY26/EU26</f>
      </c>
      <c r="FB26" s="314">
        <f>SUM(ED26:EG26)</f>
        <v>468</v>
      </c>
    </row>
    <row r="27" ht="16" customHeight="1">
      <c r="A27" s="10"/>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11"/>
      <c r="DS27" s="11"/>
      <c r="DT27" s="11"/>
      <c r="DU27" s="11"/>
      <c r="DV27" s="11"/>
      <c r="DW27" s="288"/>
      <c r="DX27" s="319">
        <f>DX26</f>
        <v>2035</v>
      </c>
      <c r="DY27" t="s" s="320">
        <v>108</v>
      </c>
      <c r="DZ27" s="321">
        <f>ROUND(DZ10,0)</f>
      </c>
      <c r="EA27" s="321">
        <f>ROUND(EA10,0)</f>
        <v>53</v>
      </c>
      <c r="EB27" s="321">
        <f>ROUND(EB10,0)</f>
        <v>15</v>
      </c>
      <c r="EC27" s="321">
        <f>ROUND(EC10,0)</f>
        <v>16</v>
      </c>
      <c r="ED27" s="321">
        <f>ROUND(ED10,0)</f>
        <v>16</v>
      </c>
      <c r="EE27" s="321">
        <f>ROUND(EE10,0)</f>
        <v>89</v>
      </c>
      <c r="EF27" s="321">
        <f>ROUND(EF10,0)</f>
        <v>148</v>
      </c>
      <c r="EG27" s="321">
        <f>ROUND(EG10,0)</f>
        <v>203</v>
      </c>
      <c r="EH27" s="321">
        <f>ROUND(EH10,0)</f>
        <v>144</v>
      </c>
      <c r="EI27" s="321">
        <f>ROUND(EI10,0)</f>
        <v>99</v>
      </c>
      <c r="EJ27" s="321">
        <f>ROUND(EJ10,0)</f>
        <v>43</v>
      </c>
      <c r="EK27" s="321">
        <f>ROUND(EK10,0)</f>
        <v>70</v>
      </c>
      <c r="EL27" s="321">
        <f>ROUND(EL10,0)</f>
        <v>49</v>
      </c>
      <c r="EM27" s="321">
        <f>ROUND(EM10,0)</f>
        <v>70</v>
      </c>
      <c r="EN27" s="321">
        <f>ROUND(EN10,0)</f>
        <v>93</v>
      </c>
      <c r="EO27" s="321">
        <f>ROUND(EO10,0)</f>
        <v>112</v>
      </c>
      <c r="EP27" s="321">
        <f>ROUND(EP10,0)</f>
        <v>112</v>
      </c>
      <c r="EQ27" s="321">
        <f>ROUND(EQ10,0)</f>
        <v>98</v>
      </c>
      <c r="ER27" s="321">
        <f>ROUND(ER10,0)</f>
        <v>42</v>
      </c>
      <c r="ES27" s="321">
        <f>ROUND(ES10,0)</f>
        <v>11</v>
      </c>
      <c r="ET27" s="321">
        <f>ROUND(ET10,0)</f>
        <v>1</v>
      </c>
      <c r="EU27" s="321">
        <f>SUM(DZ27:ET27)</f>
      </c>
      <c r="EV27" s="321">
        <f>EA27*3/5+EB27*3/5</f>
        <v>40.8</v>
      </c>
      <c r="EW27" s="321">
        <f>EB27*2/5+EC27*1/5</f>
        <v>9.199999999999999</v>
      </c>
      <c r="EX27" s="321">
        <f>SUM(EM27:ET27)</f>
        <v>539</v>
      </c>
      <c r="EY27" s="321">
        <f>SUM(EO27:ET27)</f>
        <v>376</v>
      </c>
      <c r="EZ27" s="322">
        <f>EX27/EU27</f>
      </c>
      <c r="FA27" s="322">
        <f>EY27/EU27</f>
      </c>
      <c r="FB27" s="321">
        <f>SUM(ED27:EG27)</f>
        <v>456</v>
      </c>
    </row>
    <row r="28" ht="16" customHeight="1">
      <c r="A28" s="10"/>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11"/>
      <c r="DS28" s="11"/>
      <c r="DT28" s="11"/>
      <c r="DU28" s="11"/>
      <c r="DV28" s="11"/>
      <c r="DW28" s="288"/>
      <c r="DX28" s="327">
        <f>DX27</f>
        <v>2035</v>
      </c>
      <c r="DY28" t="s" s="323">
        <v>236</v>
      </c>
      <c r="DZ28" s="328">
        <f>DZ26+DZ27</f>
      </c>
      <c r="EA28" s="328">
        <f>EA26+EA27</f>
        <v>128</v>
      </c>
      <c r="EB28" s="328">
        <f>EB26+EB27</f>
        <v>39</v>
      </c>
      <c r="EC28" s="328">
        <f>EC26+EC27</f>
        <v>42</v>
      </c>
      <c r="ED28" s="328">
        <f>ED26+ED27</f>
        <v>45</v>
      </c>
      <c r="EE28" s="328">
        <f>EE26+EE27</f>
        <v>171</v>
      </c>
      <c r="EF28" s="328">
        <f>EF26+EF27</f>
        <v>292</v>
      </c>
      <c r="EG28" s="328">
        <f>EG26+EG27</f>
        <v>416</v>
      </c>
      <c r="EH28" s="328">
        <f>EH26+EH27</f>
        <v>300</v>
      </c>
      <c r="EI28" s="328">
        <f>EI26+EI27</f>
        <v>190</v>
      </c>
      <c r="EJ28" s="328">
        <f>EJ26+EJ27</f>
        <v>91</v>
      </c>
      <c r="EK28" s="328">
        <f>EK26+EK27</f>
        <v>141</v>
      </c>
      <c r="EL28" s="328">
        <f>EL26+EL27</f>
        <v>114</v>
      </c>
      <c r="EM28" s="328">
        <f>EM26+EM27</f>
        <v>127</v>
      </c>
      <c r="EN28" s="328">
        <f>EN26+EN27</f>
        <v>162</v>
      </c>
      <c r="EO28" s="328">
        <f>EO26+EO27</f>
        <v>226</v>
      </c>
      <c r="EP28" s="328">
        <f>EP26+EP27</f>
        <v>205</v>
      </c>
      <c r="EQ28" s="328">
        <f>EQ26+EQ27</f>
        <v>169</v>
      </c>
      <c r="ER28" s="328">
        <f>ER26+ER27</f>
        <v>66</v>
      </c>
      <c r="ES28" s="328">
        <f>ES26+ES27</f>
        <v>17</v>
      </c>
      <c r="ET28" s="328">
        <f>ET26+ET27</f>
        <v>1</v>
      </c>
      <c r="EU28" s="328">
        <f>SUM(DZ28:ET28)</f>
      </c>
      <c r="EV28" s="328">
        <f>EA28*3/5+EB28*3/5</f>
        <v>100.2</v>
      </c>
      <c r="EW28" s="328">
        <f>EB28*2/5+EC28*1/5</f>
        <v>24</v>
      </c>
      <c r="EX28" s="328">
        <f>SUM(EM28:ET28)</f>
        <v>973</v>
      </c>
      <c r="EY28" s="328">
        <f>SUM(EO28:ET28)</f>
        <v>684</v>
      </c>
      <c r="EZ28" s="329">
        <f>EX28/EU28</f>
      </c>
      <c r="FA28" s="329">
        <f>EY28/EU28</f>
      </c>
      <c r="FB28" s="328">
        <f>SUM(ED28:EG28)</f>
        <v>924</v>
      </c>
    </row>
    <row r="29" ht="16" customHeight="1">
      <c r="A29" s="10"/>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11"/>
      <c r="DS29" s="11"/>
      <c r="DT29" s="11"/>
      <c r="DU29" s="11"/>
      <c r="DV29" s="11"/>
      <c r="DW29" s="288"/>
      <c r="DX29" s="312">
        <f>DX12</f>
        <v>2040</v>
      </c>
      <c r="DY29" t="s" s="313">
        <v>107</v>
      </c>
      <c r="DZ29" s="314">
        <f>ROUND(DZ12,0)</f>
      </c>
      <c r="EA29" s="314">
        <f>ROUND(EA12,0)</f>
        <v>81</v>
      </c>
      <c r="EB29" s="314">
        <f>ROUND(EB12,0)</f>
        <v>77</v>
      </c>
      <c r="EC29" s="314">
        <f>ROUND(EC12,0)</f>
        <v>20</v>
      </c>
      <c r="ED29" s="314">
        <f>ROUND(ED12,0)</f>
        <v>23</v>
      </c>
      <c r="EE29" s="314">
        <f>ROUND(EE12,0)</f>
        <v>81</v>
      </c>
      <c r="EF29" s="314">
        <f>ROUND(EF12,0)</f>
        <v>142</v>
      </c>
      <c r="EG29" s="314">
        <f>ROUND(EG12,0)</f>
        <v>208</v>
      </c>
      <c r="EH29" s="314">
        <f>ROUND(EH12,0)</f>
        <v>197</v>
      </c>
      <c r="EI29" s="314">
        <f>ROUND(EI12,0)</f>
        <v>154</v>
      </c>
      <c r="EJ29" s="314">
        <f>ROUND(EJ12,0)</f>
        <v>89</v>
      </c>
      <c r="EK29" s="314">
        <f>ROUND(EK12,0)</f>
        <v>46</v>
      </c>
      <c r="EL29" s="314">
        <f>ROUND(EL12,0)</f>
        <v>70</v>
      </c>
      <c r="EM29" s="314">
        <f>ROUND(EM12,0)</f>
        <v>61</v>
      </c>
      <c r="EN29" s="314">
        <f>ROUND(EN12,0)</f>
        <v>52</v>
      </c>
      <c r="EO29" s="314">
        <f>ROUND(EO12,0)</f>
        <v>58</v>
      </c>
      <c r="EP29" s="314">
        <f>ROUND(EP12,0)</f>
        <v>91</v>
      </c>
      <c r="EQ29" s="314">
        <f>ROUND(EQ12,0)</f>
        <v>57</v>
      </c>
      <c r="ER29" s="314">
        <f>ROUND(ER12,0)</f>
        <v>29</v>
      </c>
      <c r="ES29" s="314">
        <f>ROUND(ES12,0)</f>
        <v>5</v>
      </c>
      <c r="ET29" s="314">
        <f>ROUND(ET12,0)</f>
        <v>0</v>
      </c>
      <c r="EU29" s="314">
        <f>SUM(DZ29:ET29)</f>
      </c>
      <c r="EV29" s="314">
        <f>EA29*3/5+EB29*3/5</f>
        <v>94.8</v>
      </c>
      <c r="EW29" s="314">
        <f>EB29*2/5+EC29*1/5</f>
        <v>34.8</v>
      </c>
      <c r="EX29" s="314">
        <f>SUM(EM29:ET29)</f>
        <v>353</v>
      </c>
      <c r="EY29" s="314">
        <f>SUM(EO29:ET29)</f>
        <v>240</v>
      </c>
      <c r="EZ29" s="315">
        <f>EX29/EU29</f>
      </c>
      <c r="FA29" s="315">
        <f>EY29/EU29</f>
      </c>
      <c r="FB29" s="314">
        <f>SUM(ED29:EG29)</f>
        <v>454</v>
      </c>
    </row>
    <row r="30" ht="16" customHeight="1">
      <c r="A30" s="10"/>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11"/>
      <c r="DS30" s="11"/>
      <c r="DT30" s="11"/>
      <c r="DU30" s="11"/>
      <c r="DV30" s="11"/>
      <c r="DW30" s="288"/>
      <c r="DX30" s="319">
        <f>DX29</f>
        <v>2040</v>
      </c>
      <c r="DY30" t="s" s="320">
        <v>108</v>
      </c>
      <c r="DZ30" s="321">
        <f>ROUND(DZ13,0)</f>
      </c>
      <c r="EA30" s="321">
        <f>ROUND(EA13,0)</f>
        <v>57</v>
      </c>
      <c r="EB30" s="321">
        <f>ROUND(EB13,0)</f>
        <v>47</v>
      </c>
      <c r="EC30" s="321">
        <f>ROUND(EC13,0)</f>
        <v>12</v>
      </c>
      <c r="ED30" s="321">
        <f>ROUND(ED13,0)</f>
        <v>10</v>
      </c>
      <c r="EE30" s="321">
        <f>ROUND(EE13,0)</f>
        <v>83</v>
      </c>
      <c r="EF30" s="321">
        <f>ROUND(EF13,0)</f>
        <v>146</v>
      </c>
      <c r="EG30" s="321">
        <f>ROUND(EG13,0)</f>
        <v>202</v>
      </c>
      <c r="EH30" s="321">
        <f>ROUND(EH13,0)</f>
        <v>184</v>
      </c>
      <c r="EI30" s="321">
        <f>ROUND(EI13,0)</f>
        <v>135</v>
      </c>
      <c r="EJ30" s="321">
        <f>ROUND(EJ13,0)</f>
        <v>97</v>
      </c>
      <c r="EK30" s="321">
        <f>ROUND(EK13,0)</f>
        <v>44</v>
      </c>
      <c r="EL30" s="321">
        <f>ROUND(EL13,0)</f>
        <v>69</v>
      </c>
      <c r="EM30" s="321">
        <f>ROUND(EM13,0)</f>
        <v>48</v>
      </c>
      <c r="EN30" s="321">
        <f>ROUND(EN13,0)</f>
        <v>66</v>
      </c>
      <c r="EO30" s="321">
        <f>ROUND(EO13,0)</f>
        <v>84</v>
      </c>
      <c r="EP30" s="321">
        <f>ROUND(EP13,0)</f>
        <v>91</v>
      </c>
      <c r="EQ30" s="321">
        <f>ROUND(EQ13,0)</f>
        <v>81</v>
      </c>
      <c r="ER30" s="321">
        <f>ROUND(ER13,0)</f>
        <v>48</v>
      </c>
      <c r="ES30" s="321">
        <f>ROUND(ES13,0)</f>
        <v>9</v>
      </c>
      <c r="ET30" s="321">
        <f>ROUND(ET13,0)</f>
        <v>1</v>
      </c>
      <c r="EU30" s="321">
        <f>SUM(DZ30:ET30)</f>
      </c>
      <c r="EV30" s="321">
        <f>EA30*3/5+EB30*3/5</f>
        <v>62.4</v>
      </c>
      <c r="EW30" s="321">
        <f>EB30*2/5+EC30*1/5</f>
        <v>21.2</v>
      </c>
      <c r="EX30" s="321">
        <f>SUM(EM30:ET30)</f>
        <v>428</v>
      </c>
      <c r="EY30" s="321">
        <f>SUM(EO30:ET30)</f>
        <v>314</v>
      </c>
      <c r="EZ30" s="322">
        <f>EX30/EU30</f>
      </c>
      <c r="FA30" s="322">
        <f>EY30/EU30</f>
      </c>
      <c r="FB30" s="321">
        <f>SUM(ED30:EG30)</f>
        <v>441</v>
      </c>
    </row>
    <row r="31" ht="12.95" customHeight="1">
      <c r="A31" s="1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11"/>
      <c r="DS31" s="11"/>
      <c r="DT31" s="11"/>
      <c r="DU31" s="11"/>
      <c r="DV31" s="11"/>
      <c r="DW31" s="288"/>
      <c r="DX31" s="327">
        <f>DX30</f>
        <v>2040</v>
      </c>
      <c r="DY31" t="s" s="323">
        <v>236</v>
      </c>
      <c r="DZ31" s="328">
        <f>DZ29+DZ30</f>
      </c>
      <c r="EA31" s="328">
        <f>EA29+EA30</f>
        <v>138</v>
      </c>
      <c r="EB31" s="328">
        <f>EB29+EB30</f>
        <v>124</v>
      </c>
      <c r="EC31" s="328">
        <f>EC29+EC30</f>
        <v>32</v>
      </c>
      <c r="ED31" s="328">
        <f>ED29+ED30</f>
        <v>33</v>
      </c>
      <c r="EE31" s="328">
        <f>EE29+EE30</f>
        <v>164</v>
      </c>
      <c r="EF31" s="328">
        <f>EF29+EF30</f>
        <v>288</v>
      </c>
      <c r="EG31" s="328">
        <f>EG29+EG30</f>
        <v>410</v>
      </c>
      <c r="EH31" s="328">
        <f>EH29+EH30</f>
        <v>381</v>
      </c>
      <c r="EI31" s="328">
        <f>EI29+EI30</f>
        <v>289</v>
      </c>
      <c r="EJ31" s="328">
        <f>EJ29+EJ30</f>
        <v>186</v>
      </c>
      <c r="EK31" s="328">
        <f>EK29+EK30</f>
        <v>90</v>
      </c>
      <c r="EL31" s="328">
        <f>EL29+EL30</f>
        <v>139</v>
      </c>
      <c r="EM31" s="328">
        <f>EM29+EM30</f>
        <v>109</v>
      </c>
      <c r="EN31" s="328">
        <f>EN29+EN30</f>
        <v>118</v>
      </c>
      <c r="EO31" s="328">
        <f>EO29+EO30</f>
        <v>142</v>
      </c>
      <c r="EP31" s="328">
        <f>EP29+EP30</f>
        <v>182</v>
      </c>
      <c r="EQ31" s="328">
        <f>EQ29+EQ30</f>
        <v>138</v>
      </c>
      <c r="ER31" s="328">
        <f>ER29+ER30</f>
        <v>77</v>
      </c>
      <c r="ES31" s="328">
        <f>ES29+ES30</f>
        <v>14</v>
      </c>
      <c r="ET31" s="328">
        <f>ET29+ET30</f>
        <v>1</v>
      </c>
      <c r="EU31" s="328">
        <f>SUM(DZ31:ET31)</f>
      </c>
      <c r="EV31" s="328">
        <f>EA31*3/5+EB31*3/5</f>
        <v>157.2</v>
      </c>
      <c r="EW31" s="328">
        <f>EB31*2/5+EC31*1/5</f>
        <v>56</v>
      </c>
      <c r="EX31" s="328">
        <f>SUM(EM31:ET31)</f>
        <v>781</v>
      </c>
      <c r="EY31" s="328">
        <f>SUM(EO31:ET31)</f>
        <v>554</v>
      </c>
      <c r="EZ31" s="329">
        <f>EX31/EU31</f>
      </c>
      <c r="FA31" s="329">
        <f>EY31/EU31</f>
      </c>
      <c r="FB31" s="328">
        <f>SUM(ED31:EG31)</f>
        <v>895</v>
      </c>
    </row>
    <row r="32" ht="12.95" customHeight="1">
      <c r="A32" s="10"/>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11"/>
      <c r="DS32" s="11"/>
      <c r="DT32" s="11"/>
      <c r="DU32" s="11"/>
      <c r="DV32" s="11"/>
      <c r="DW32" s="11"/>
      <c r="DX32" s="363"/>
      <c r="DY32" s="196"/>
      <c r="DZ32" s="364"/>
      <c r="EA32" s="364"/>
      <c r="EB32" s="364"/>
      <c r="EC32" s="364"/>
      <c r="ED32" s="364"/>
      <c r="EE32" s="364"/>
      <c r="EF32" s="364"/>
      <c r="EG32" s="364"/>
      <c r="EH32" s="364"/>
      <c r="EI32" s="364"/>
      <c r="EJ32" s="364"/>
      <c r="EK32" s="364"/>
      <c r="EL32" s="364"/>
      <c r="EM32" s="364"/>
      <c r="EN32" s="364"/>
      <c r="EO32" s="364"/>
      <c r="EP32" s="364"/>
      <c r="EQ32" s="364"/>
      <c r="ER32" s="364"/>
      <c r="ES32" s="364"/>
      <c r="ET32" s="364"/>
      <c r="EU32" s="364"/>
      <c r="EV32" s="364"/>
      <c r="EW32" s="364"/>
      <c r="EX32" s="364"/>
      <c r="EY32" s="364"/>
      <c r="EZ32" s="365"/>
      <c r="FA32" s="365"/>
      <c r="FB32" s="368"/>
    </row>
    <row r="33" ht="16" customHeight="1">
      <c r="A33" s="10"/>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2"/>
    </row>
    <row r="34" ht="16" customHeight="1">
      <c r="A34" s="10"/>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2"/>
    </row>
    <row r="35" ht="14.1" customHeight="1">
      <c r="A35" s="80"/>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369"/>
      <c r="CS35" s="369"/>
      <c r="CT35" s="369"/>
      <c r="CU35" s="369"/>
      <c r="CV35" s="369"/>
      <c r="CW35" s="369"/>
      <c r="CX35" s="369"/>
      <c r="CY35" s="369"/>
      <c r="CZ35" s="369"/>
      <c r="DA35" s="369"/>
      <c r="DB35" s="369"/>
      <c r="DC35" s="369"/>
      <c r="DD35" s="369"/>
      <c r="DE35" s="369"/>
      <c r="DF35" s="369"/>
      <c r="DG35" s="369"/>
      <c r="DH35" s="369"/>
      <c r="DI35" s="369"/>
      <c r="DJ35" s="369"/>
      <c r="DK35" s="369"/>
      <c r="DL35" s="369"/>
      <c r="DM35" s="369"/>
      <c r="DN35" s="369"/>
      <c r="DO35" s="369"/>
      <c r="DP35" s="369"/>
      <c r="DQ35" s="369"/>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2"/>
    </row>
  </sheetData>
  <mergeCells count="169">
    <mergeCell ref="EZ18:EZ19"/>
    <mergeCell ref="FA18:FA19"/>
    <mergeCell ref="FB18:FB19"/>
    <mergeCell ref="EQ18:EQ19"/>
    <mergeCell ref="ER18:ER19"/>
    <mergeCell ref="ES18:ES19"/>
    <mergeCell ref="ET18:ET19"/>
    <mergeCell ref="EU18:EU19"/>
    <mergeCell ref="EV18:EV19"/>
    <mergeCell ref="EW18:EW19"/>
    <mergeCell ref="EX18:EX19"/>
    <mergeCell ref="EY18:EY19"/>
    <mergeCell ref="EH18:EH19"/>
    <mergeCell ref="EI18:EI19"/>
    <mergeCell ref="EJ18:EJ19"/>
    <mergeCell ref="EK18:EK19"/>
    <mergeCell ref="EL18:EL19"/>
    <mergeCell ref="EM18:EM19"/>
    <mergeCell ref="EN18:EN19"/>
    <mergeCell ref="EO18:EO19"/>
    <mergeCell ref="EP18:EP19"/>
    <mergeCell ref="DX18:DY19"/>
    <mergeCell ref="DZ18:DZ19"/>
    <mergeCell ref="EA18:EA19"/>
    <mergeCell ref="EB18:EB19"/>
    <mergeCell ref="EC18:EC19"/>
    <mergeCell ref="ED18:ED19"/>
    <mergeCell ref="EE18:EE19"/>
    <mergeCell ref="EF18:EF19"/>
    <mergeCell ref="EG18:EG19"/>
    <mergeCell ref="DO1:DO2"/>
    <mergeCell ref="DP1:DP2"/>
    <mergeCell ref="DQ1:DQ2"/>
    <mergeCell ref="DR1:DR2"/>
    <mergeCell ref="DS1:DS2"/>
    <mergeCell ref="DT1:DT2"/>
    <mergeCell ref="DI1:DI2"/>
    <mergeCell ref="DJ1:DJ2"/>
    <mergeCell ref="DK1:DK2"/>
    <mergeCell ref="DL1:DL2"/>
    <mergeCell ref="DM1:DM2"/>
    <mergeCell ref="DN1:DN2"/>
    <mergeCell ref="DC1:DC2"/>
    <mergeCell ref="DD1:DD2"/>
    <mergeCell ref="DE1:DE2"/>
    <mergeCell ref="DF1:DF2"/>
    <mergeCell ref="DG1:DG2"/>
    <mergeCell ref="DH1:DH2"/>
    <mergeCell ref="CW1:CW2"/>
    <mergeCell ref="CX1:CX2"/>
    <mergeCell ref="CY1:CY2"/>
    <mergeCell ref="CZ1:CZ2"/>
    <mergeCell ref="DA1:DA2"/>
    <mergeCell ref="DB1:DB2"/>
    <mergeCell ref="CM1:CM2"/>
    <mergeCell ref="CR1:CR2"/>
    <mergeCell ref="CS1:CS2"/>
    <mergeCell ref="CT1:CT2"/>
    <mergeCell ref="CU1:CU2"/>
    <mergeCell ref="CV1:CV2"/>
    <mergeCell ref="CG1:CG2"/>
    <mergeCell ref="CH1:CH2"/>
    <mergeCell ref="CI1:CI2"/>
    <mergeCell ref="CJ1:CJ2"/>
    <mergeCell ref="CK1:CK2"/>
    <mergeCell ref="CL1:CL2"/>
    <mergeCell ref="CA1:CA2"/>
    <mergeCell ref="CB1:CB2"/>
    <mergeCell ref="CC1:CC2"/>
    <mergeCell ref="CD1:CD2"/>
    <mergeCell ref="CE1:CE2"/>
    <mergeCell ref="CF1:CF2"/>
    <mergeCell ref="BU1:BU2"/>
    <mergeCell ref="BV1:BV2"/>
    <mergeCell ref="BW1:BW2"/>
    <mergeCell ref="BX1:BX2"/>
    <mergeCell ref="BY1:BY2"/>
    <mergeCell ref="BZ1:BZ2"/>
    <mergeCell ref="BQ1:BQ2"/>
    <mergeCell ref="BR1:BR2"/>
    <mergeCell ref="BS1:BS2"/>
    <mergeCell ref="BT1:BT2"/>
    <mergeCell ref="BE1:BE2"/>
    <mergeCell ref="BF1:BF2"/>
    <mergeCell ref="BK1:BK2"/>
    <mergeCell ref="BL1:BL2"/>
    <mergeCell ref="BM1:BM2"/>
    <mergeCell ref="BN1:BN2"/>
    <mergeCell ref="BD1:BD2"/>
    <mergeCell ref="AS1:AS2"/>
    <mergeCell ref="AT1:AT2"/>
    <mergeCell ref="AU1:AU2"/>
    <mergeCell ref="AV1:AV2"/>
    <mergeCell ref="AW1:AW2"/>
    <mergeCell ref="AX1:AX2"/>
    <mergeCell ref="BO1:BO2"/>
    <mergeCell ref="BP1:BP2"/>
    <mergeCell ref="AD1:AD2"/>
    <mergeCell ref="AE1:AE2"/>
    <mergeCell ref="AB1:AB2"/>
    <mergeCell ref="AC1:AC2"/>
    <mergeCell ref="AY1:AY2"/>
    <mergeCell ref="AZ1:AZ2"/>
    <mergeCell ref="BA1:BA2"/>
    <mergeCell ref="BB1:BB2"/>
    <mergeCell ref="BC1:BC2"/>
    <mergeCell ref="D1:D2"/>
    <mergeCell ref="E1:E2"/>
    <mergeCell ref="F1:F2"/>
    <mergeCell ref="G1:G2"/>
    <mergeCell ref="H1:H2"/>
    <mergeCell ref="U1:U2"/>
    <mergeCell ref="V1:V2"/>
    <mergeCell ref="W1:W2"/>
    <mergeCell ref="X1:X2"/>
    <mergeCell ref="O1:O2"/>
    <mergeCell ref="P1:P2"/>
    <mergeCell ref="Q1:Q2"/>
    <mergeCell ref="R1:R2"/>
    <mergeCell ref="S1:S2"/>
    <mergeCell ref="T1:T2"/>
    <mergeCell ref="EB1:EB2"/>
    <mergeCell ref="EC1:EC2"/>
    <mergeCell ref="ED1:ED2"/>
    <mergeCell ref="EE1:EE2"/>
    <mergeCell ref="EF1:EF2"/>
    <mergeCell ref="EG1:EG2"/>
    <mergeCell ref="EH1:EH2"/>
    <mergeCell ref="I1:I2"/>
    <mergeCell ref="J1:J2"/>
    <mergeCell ref="K1:K2"/>
    <mergeCell ref="L1:L2"/>
    <mergeCell ref="M1:M2"/>
    <mergeCell ref="N1:N2"/>
    <mergeCell ref="Y1:Y2"/>
    <mergeCell ref="Z1:Z2"/>
    <mergeCell ref="AM1:AM2"/>
    <mergeCell ref="AN1:AN2"/>
    <mergeCell ref="AO1:AO2"/>
    <mergeCell ref="AP1:AP2"/>
    <mergeCell ref="AQ1:AQ2"/>
    <mergeCell ref="AR1:AR2"/>
    <mergeCell ref="AL1:AL2"/>
    <mergeCell ref="AF1:AF2"/>
    <mergeCell ref="AA1:AA2"/>
    <mergeCell ref="FA1:FA2"/>
    <mergeCell ref="FB1:FB2"/>
    <mergeCell ref="DX1:DY2"/>
    <mergeCell ref="DV1:DW5"/>
    <mergeCell ref="ER1:ER2"/>
    <mergeCell ref="ES1:ES2"/>
    <mergeCell ref="ET1:ET2"/>
    <mergeCell ref="EU1:EU2"/>
    <mergeCell ref="EV1:EV2"/>
    <mergeCell ref="EW1:EW2"/>
    <mergeCell ref="EX1:EX2"/>
    <mergeCell ref="EY1:EY2"/>
    <mergeCell ref="EZ1:EZ2"/>
    <mergeCell ref="EI1:EI2"/>
    <mergeCell ref="EJ1:EJ2"/>
    <mergeCell ref="EK1:EK2"/>
    <mergeCell ref="EL1:EL2"/>
    <mergeCell ref="EM1:EM2"/>
    <mergeCell ref="EN1:EN2"/>
    <mergeCell ref="EO1:EO2"/>
    <mergeCell ref="EP1:EP2"/>
    <mergeCell ref="EQ1:EQ2"/>
    <mergeCell ref="DZ1:DZ2"/>
    <mergeCell ref="EA1:EA2"/>
  </mergeCells>
  <conditionalFormatting sqref="D3:AC3 AF3 BK3:CJ3 CM3 CR3:DQ3 DT3 DZ3:EY3 FB3 D4:AC4 AF4 BK4:CJ4 CM4 CR4:DQ4 DT4 DZ4:EY4 FB4 D5:AC5 AF5 BK5:CJ5 CM5 CR5:DQ5 DT5 DZ5:EY5 FB5 D6:AC6 AF6 BK6:CJ6 CM6 CR6:DQ6 DT6 DZ6:EY6 FB6 D7:AC7 AF7 AM7:BF7 BK7:CJ7 CM7 CR7:DQ7 DT7 DW7 DZ7:EY7 FB7 D8:AC8 AF8 AM8:BF8 BK8:CJ8 CM8 CR8:DQ8 DT8 DW8 DZ8:EY8 FB8 D9:AC9 AF9 BK9:CJ9 CM9 CR9:DQ9 DT9 DW9 DZ9:EY9 FB9 D10:AC10 AF10 BK10:CJ10 CM10 CR10:DQ10 DT10 DW10 DZ10:EY10 FB10 D11:AC11 AF11 BK11:CJ11 CM11 CR11:DQ11 DT11 DW11 DZ11:EY11 FB11 D12:AC12 AF12 BK12:CJ12 CM12 CR12:DQ12 DT12 DZ12:EY12 FB12 D13:AC13 AF13 BK13:CJ13 CM13 CR13:DQ13 DT13 DZ13:EY13 FB13 D14:AC14 AF14 BK14:CJ14 CM14 CR14:DQ14 DT14 DZ14:EY14 FB14 Y15:AC15 AF15 BK15:CJ15 CM15 CR15:DQ15 DT15 DW15 Y16:AC16 AF16 BK16:CJ16 CM16 CR16:DQ16 DT16 Y17:AC17 AF17 BK17:CJ17 CM17 CR17:DQ17 DT17 Y18:AC18 AF18 BK18:CJ18 CM18 CR18:DQ18 DT18 Y19:AC19 AF19 BK19:CJ19 CM19 CR19:DQ19 DT19 Y20:AC20 AF20 BK20:CJ20 CM20 CR20:DQ20 DT20 DZ20:EY20 FB20 CF21:CJ21 CM21 DM21:DQ21 DT21 DZ21:EY21 FB21 CF22:CJ22 CM22 DM22:DQ22 DT22 DZ22:EY22 FB22 CF23:CJ23 CM23 DM23:DQ23 DT23 DZ23:EY23 FB23 CF24:CJ24 CM24 CR24:DQ24 DT24 DZ24:EY24 FB24 CF25:CJ25 CM25 CR25:DQ25 DT25 DZ25:EY25 FB25 CF26:CJ26 CM26 CR26:DQ26 DT26 DZ26:EY32 FB26:FB32 CR27:DQ35">
    <cfRule type="cellIs" dxfId="4" priority="1" operator="lessThan" stopIfTrue="1">
      <formula>0</formula>
    </cfRule>
  </conditionalFormatting>
  <pageMargins left="0.7" right="0.7" top="0.75" bottom="0.75" header="0.3" footer="0.3"/>
  <pageSetup firstPageNumber="1" fitToHeight="1" fitToWidth="1" scale="100" useFirstPageNumber="0" orientation="portrait" pageOrder="downThenOver"/>
  <headerFooter>
    <oddFooter>&amp;C&amp;"ヒラギノ角ゴ ProN W3,Regular"&amp;12&amp;K000000&amp;P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